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14235" windowHeight="7680" tabRatio="940" firstSheet="64" activeTab="64"/>
  </bookViews>
  <sheets>
    <sheet name="1.1.-1.7.сист-управл УО" sheetId="10" r:id="rId1"/>
    <sheet name="2.1.діл_док УО" sheetId="9" r:id="rId2"/>
    <sheet name="2.2.діл_док ДНЗ" sheetId="11" r:id="rId3"/>
    <sheet name="2.3.діл_док ЗНЗ" sheetId="3" r:id="rId4"/>
    <sheet name="2.4.діл_док ПШ" sheetId="35" r:id="rId5"/>
    <sheet name="2.5.діл-док ДЮСШ" sheetId="26" r:id="rId6"/>
    <sheet name="2.6.діл-док ЦДЮТ" sheetId="28" r:id="rId7"/>
    <sheet name="2.7.поч_року ЗНЗ" sheetId="1" r:id="rId8"/>
    <sheet name="2.8.зак_року ЗНЗ" sheetId="2" r:id="rId9"/>
    <sheet name="3.1.1.дошкільна_освіта УО" sheetId="50" r:id="rId10"/>
    <sheet name="3.1.2.харч ДНЗ" sheetId="30" r:id="rId11"/>
    <sheet name="3.2.1.метод робота дошкілля УО" sheetId="71" r:id="rId12"/>
    <sheet name="3.2.2.метод робота ДНЗ" sheetId="47" r:id="rId13"/>
    <sheet name="4.1.всеобуч УО" sheetId="7" r:id="rId14"/>
    <sheet name="4.2.рух_учнів УО" sheetId="39" r:id="rId15"/>
    <sheet name="4.3.працевлашт УО" sheetId="23" r:id="rId16"/>
    <sheet name="4.4.1.екстернат УО" sheetId="40" r:id="rId17"/>
    <sheet name="4.4.2.екстернат ЗНЗ" sheetId="13" r:id="rId18"/>
    <sheet name="4.5.1.інд навч УО" sheetId="41" r:id="rId19"/>
    <sheet name="4.5.2.інд навч ЗНЗ" sheetId="14" r:id="rId20"/>
    <sheet name="4.5.3.пеніт" sheetId="15" r:id="rId21"/>
    <sheet name="4.6.1.мови УО" sheetId="51" r:id="rId22"/>
    <sheet name="4.6.2.мови ЗНЗ" sheetId="52" r:id="rId23"/>
    <sheet name="4.6.3.мови ДНЗ" sheetId="31" r:id="rId24"/>
    <sheet name="5.1.1.сан-мед УО" sheetId="53" r:id="rId25"/>
    <sheet name="5.1.2.сан-мед ДНЗ" sheetId="33" r:id="rId26"/>
    <sheet name="5.1.3.сан-мед ЗНЗ" sheetId="19" r:id="rId27"/>
    <sheet name="5.2.1.харч УО" sheetId="72" r:id="rId28"/>
    <sheet name="5.2.2.харч ЗНЗ" sheetId="18" r:id="rId29"/>
    <sheet name="5.3.1.оздор УО" sheetId="54" r:id="rId30"/>
    <sheet name="5.3.2.оздор ДНЗ" sheetId="32" r:id="rId31"/>
    <sheet name="5.3.3.оздор ЗНЗ" sheetId="55" r:id="rId32"/>
    <sheet name="6.1.позашк УО" sheetId="56" r:id="rId33"/>
    <sheet name="6.2.позашк ПНЗ" sheetId="69" r:id="rId34"/>
    <sheet name="7.1.Захист Вітчизни УО " sheetId="57" r:id="rId35"/>
    <sheet name="7.2.Захист Вітчизни ЗНЗ" sheetId="58" r:id="rId36"/>
    <sheet name="8.1.фізкульт УО" sheetId="59" r:id="rId37"/>
    <sheet name="8.2.фізкульт ЗНЗ" sheetId="60" r:id="rId38"/>
    <sheet name="9.1.профілактика злоч УО" sheetId="38" r:id="rId39"/>
    <sheet name="9.2.профілактика злоч ЗНЗ" sheetId="20" r:id="rId40"/>
    <sheet name="10.1.соцзах УО" sheetId="24" r:id="rId41"/>
    <sheet name="10.3.соцзах ДНЗ" sheetId="61" r:id="rId42"/>
    <sheet name="10.3.соцзах ЗНЗ" sheetId="25" r:id="rId43"/>
    <sheet name="11.1.трудове-кадри УО" sheetId="62" r:id="rId44"/>
    <sheet name="11.2.трудове-кадри НЗ" sheetId="21" r:id="rId45"/>
    <sheet name="12.1.1.травм УО" sheetId="12" r:id="rId46"/>
    <sheet name="12.1.2.травм ДНЗ" sheetId="6" r:id="rId47"/>
    <sheet name="12.1.3.травм ЗНЗ" sheetId="4" r:id="rId48"/>
    <sheet name="12.1.4.травм ПНЗ" sheetId="5" r:id="rId49"/>
    <sheet name="12.1.ОП-ПБ УО" sheetId="68" r:id="rId50"/>
    <sheet name="12.2.ОП-ПБ НЗ" sheetId="22" r:id="rId51"/>
    <sheet name="13.оренда УО" sheetId="36" r:id="rId52"/>
    <sheet name="14.ЦО УО" sheetId="37" r:id="rId53"/>
    <sheet name="15.1.1.фін-дисц-економісти УО" sheetId="63" r:id="rId54"/>
    <sheet name="15.1.2.фін-дисц-економісти ЗНЗ" sheetId="17" r:id="rId55"/>
    <sheet name="15.2.бухгалтерія УО" sheetId="29" r:id="rId56"/>
    <sheet name="15.3.позабюдж УО" sheetId="64" r:id="rId57"/>
    <sheet name="16.1.1.інформатизац ДНЗ" sheetId="65" r:id="rId58"/>
    <sheet name="16.1.2.інформатизац ЗНЗ" sheetId="34" r:id="rId59"/>
    <sheet name="16.1.3.інформатизац ПНЗ" sheetId="70" r:id="rId60"/>
    <sheet name="16.2.ЛКТО УО" sheetId="66" r:id="rId61"/>
    <sheet name="16.3.цільове викор комп техн" sheetId="67" r:id="rId62"/>
    <sheet name="16.4.госп-діяльн УО" sheetId="27" r:id="rId63"/>
    <sheet name="17.1.методробота РМЦ УО" sheetId="49" r:id="rId64"/>
    <sheet name="Соціальна обдарованість" sheetId="73" r:id="rId65"/>
  </sheets>
  <definedNames>
    <definedName name="_xlnm._FilterDatabase" localSheetId="0" hidden="1">'1.1.-1.7.сист-управл УО'!$A$3:$G$50</definedName>
    <definedName name="_xlnm._FilterDatabase" localSheetId="40" hidden="1">'10.1.соцзах УО'!$A$4:$G$46</definedName>
    <definedName name="_xlnm._FilterDatabase" localSheetId="42" hidden="1">'10.3.соцзах ЗНЗ'!$A$4:$G$67</definedName>
    <definedName name="_xlnm._FilterDatabase" localSheetId="44" hidden="1">'11.2.трудове-кадри НЗ'!$A$4:$G$41</definedName>
    <definedName name="_xlnm._FilterDatabase" localSheetId="50" hidden="1">'12.2.ОП-ПБ НЗ'!$A$4:$G$60</definedName>
    <definedName name="_xlnm._FilterDatabase" localSheetId="1" hidden="1">'2.1.діл_док УО'!$A$4:$G$69</definedName>
    <definedName name="_xlnm._FilterDatabase" localSheetId="3" hidden="1">'2.3.діл_док ЗНЗ'!$A$3:$G$118</definedName>
    <definedName name="_xlnm._FilterDatabase" localSheetId="4" hidden="1">'2.4.діл_док ПШ'!$A$3:$G$110</definedName>
    <definedName name="_xlnm._FilterDatabase" localSheetId="7" hidden="1">'2.7.поч_року ЗНЗ'!$A$4:$G$107</definedName>
    <definedName name="_xlnm._FilterDatabase" localSheetId="8" hidden="1">'2.8.зак_року ЗНЗ'!$A$4:$G$88</definedName>
    <definedName name="_xlnm._FilterDatabase" localSheetId="13" hidden="1">'4.1.всеобуч УО'!$A$3:$G$25</definedName>
    <definedName name="_xlnm._FilterDatabase" localSheetId="31" hidden="1">'5.3.3.оздор ЗНЗ'!$A$4:$H$81</definedName>
    <definedName name="_xlnm._FilterDatabase" localSheetId="39" hidden="1">'9.2.профілактика злоч ЗНЗ'!$A$4:$G$77</definedName>
    <definedName name="_xlnm.Print_Area" localSheetId="7">'2.7.поч_року ЗНЗ'!$A$1:$G$107</definedName>
  </definedNames>
  <calcPr calcId="125725"/>
</workbook>
</file>

<file path=xl/calcChain.xml><?xml version="1.0" encoding="utf-8"?>
<calcChain xmlns="http://schemas.openxmlformats.org/spreadsheetml/2006/main">
  <c r="H16" i="73"/>
  <c r="H10"/>
  <c r="H7"/>
  <c r="H4"/>
  <c r="G9"/>
  <c r="G17"/>
  <c r="G25"/>
  <c r="G24"/>
  <c r="G23"/>
  <c r="G22"/>
  <c r="G21"/>
  <c r="G20"/>
  <c r="G19"/>
  <c r="G18"/>
  <c r="G16"/>
  <c r="G15"/>
  <c r="G14"/>
  <c r="G13"/>
  <c r="G12"/>
  <c r="G11"/>
  <c r="G10"/>
  <c r="G8"/>
  <c r="H26" s="1"/>
  <c r="G7"/>
  <c r="G5"/>
  <c r="G4"/>
  <c r="D32" i="59"/>
  <c r="F31"/>
  <c r="H31"/>
  <c r="F30"/>
  <c r="H30"/>
  <c r="F29"/>
  <c r="H29"/>
  <c r="F28"/>
  <c r="H28"/>
  <c r="F27"/>
  <c r="H27"/>
  <c r="F26"/>
  <c r="H26"/>
  <c r="F25"/>
  <c r="F32"/>
  <c r="D24"/>
  <c r="F23"/>
  <c r="H23"/>
  <c r="F22"/>
  <c r="H22"/>
  <c r="F21"/>
  <c r="F24"/>
  <c r="D20"/>
  <c r="F19"/>
  <c r="H19"/>
  <c r="F18"/>
  <c r="H18"/>
  <c r="F17"/>
  <c r="H17"/>
  <c r="F16"/>
  <c r="H16"/>
  <c r="F15"/>
  <c r="H15"/>
  <c r="F14"/>
  <c r="H14"/>
  <c r="F13"/>
  <c r="H13"/>
  <c r="F12"/>
  <c r="H12"/>
  <c r="F11"/>
  <c r="H11"/>
  <c r="F10"/>
  <c r="F20"/>
  <c r="D9"/>
  <c r="F8"/>
  <c r="H8"/>
  <c r="F7"/>
  <c r="H7"/>
  <c r="F6"/>
  <c r="H6"/>
  <c r="F5"/>
  <c r="H5"/>
  <c r="F4"/>
  <c r="F9"/>
  <c r="E57" i="60"/>
  <c r="G56"/>
  <c r="G55"/>
  <c r="G54"/>
  <c r="G53"/>
  <c r="G52"/>
  <c r="G51"/>
  <c r="C51"/>
  <c r="G57"/>
  <c r="E49"/>
  <c r="G49"/>
  <c r="E48"/>
  <c r="G48"/>
  <c r="E47"/>
  <c r="G47"/>
  <c r="G50"/>
  <c r="E46"/>
  <c r="G46"/>
  <c r="C46"/>
  <c r="E44"/>
  <c r="G44"/>
  <c r="E43"/>
  <c r="G43"/>
  <c r="E45"/>
  <c r="C43"/>
  <c r="G45"/>
  <c r="E41"/>
  <c r="G41"/>
  <c r="E40"/>
  <c r="G40"/>
  <c r="E39"/>
  <c r="G39"/>
  <c r="E38"/>
  <c r="G38"/>
  <c r="E37"/>
  <c r="G37"/>
  <c r="E36"/>
  <c r="G36"/>
  <c r="E35"/>
  <c r="G35"/>
  <c r="E34"/>
  <c r="G34"/>
  <c r="E33"/>
  <c r="G33"/>
  <c r="E32"/>
  <c r="G32"/>
  <c r="E31"/>
  <c r="G31"/>
  <c r="E30"/>
  <c r="G30"/>
  <c r="G42"/>
  <c r="E29"/>
  <c r="G29"/>
  <c r="C29"/>
  <c r="E27"/>
  <c r="G27"/>
  <c r="E26"/>
  <c r="G26"/>
  <c r="E25"/>
  <c r="G25"/>
  <c r="E24"/>
  <c r="G24"/>
  <c r="E23"/>
  <c r="G23"/>
  <c r="E22"/>
  <c r="G22"/>
  <c r="E21"/>
  <c r="G21"/>
  <c r="C21"/>
  <c r="E19"/>
  <c r="G19"/>
  <c r="E18"/>
  <c r="G18"/>
  <c r="E17"/>
  <c r="G17"/>
  <c r="E20"/>
  <c r="C17"/>
  <c r="G20"/>
  <c r="E15"/>
  <c r="G15"/>
  <c r="E14"/>
  <c r="G14"/>
  <c r="E13"/>
  <c r="G13"/>
  <c r="C13"/>
  <c r="E11"/>
  <c r="G11"/>
  <c r="E10"/>
  <c r="G10"/>
  <c r="E9"/>
  <c r="E12"/>
  <c r="C9"/>
  <c r="E7"/>
  <c r="G7"/>
  <c r="E6"/>
  <c r="G6"/>
  <c r="E5"/>
  <c r="G5"/>
  <c r="E4"/>
  <c r="G4"/>
  <c r="G8"/>
  <c r="G58"/>
  <c r="G59"/>
  <c r="E8"/>
  <c r="C4"/>
  <c r="C58"/>
  <c r="G4" i="69"/>
  <c r="G5"/>
  <c r="G6"/>
  <c r="G7"/>
  <c r="G8"/>
  <c r="G9"/>
  <c r="G10"/>
  <c r="G11"/>
  <c r="G12"/>
  <c r="G13"/>
  <c r="G14"/>
  <c r="G15"/>
  <c r="G16"/>
  <c r="G17"/>
  <c r="G18"/>
  <c r="G19"/>
  <c r="G20"/>
  <c r="G21"/>
  <c r="G22"/>
  <c r="G23"/>
  <c r="G24"/>
  <c r="G25"/>
  <c r="G26"/>
  <c r="G3"/>
  <c r="G27"/>
  <c r="G28"/>
  <c r="C27"/>
  <c r="D32" i="58"/>
  <c r="F31"/>
  <c r="H31"/>
  <c r="F30"/>
  <c r="H30"/>
  <c r="F29"/>
  <c r="H29"/>
  <c r="F28"/>
  <c r="H28"/>
  <c r="F27"/>
  <c r="H27"/>
  <c r="F26"/>
  <c r="H26"/>
  <c r="F25"/>
  <c r="H25"/>
  <c r="H32"/>
  <c r="F32"/>
  <c r="D24"/>
  <c r="F23"/>
  <c r="H23"/>
  <c r="F22"/>
  <c r="H22"/>
  <c r="F21"/>
  <c r="F24"/>
  <c r="D20"/>
  <c r="F19"/>
  <c r="H19"/>
  <c r="F18"/>
  <c r="H18"/>
  <c r="F17"/>
  <c r="H17"/>
  <c r="F16"/>
  <c r="H16"/>
  <c r="F15"/>
  <c r="H15"/>
  <c r="F14"/>
  <c r="H14"/>
  <c r="F13"/>
  <c r="H13"/>
  <c r="F12"/>
  <c r="H12"/>
  <c r="F11"/>
  <c r="H11"/>
  <c r="F10"/>
  <c r="F20"/>
  <c r="D9"/>
  <c r="F8"/>
  <c r="H8"/>
  <c r="F7"/>
  <c r="H7"/>
  <c r="F6"/>
  <c r="H6"/>
  <c r="F5"/>
  <c r="H5"/>
  <c r="F4"/>
  <c r="F9"/>
  <c r="D32" i="57"/>
  <c r="F31"/>
  <c r="H31"/>
  <c r="F30"/>
  <c r="H30"/>
  <c r="F29"/>
  <c r="H29"/>
  <c r="F28"/>
  <c r="H28"/>
  <c r="F27"/>
  <c r="H27"/>
  <c r="F26"/>
  <c r="H26"/>
  <c r="F25"/>
  <c r="H25"/>
  <c r="H32"/>
  <c r="F32"/>
  <c r="D24"/>
  <c r="F23"/>
  <c r="H23"/>
  <c r="F22"/>
  <c r="H22"/>
  <c r="F21"/>
  <c r="F24"/>
  <c r="D20"/>
  <c r="F19"/>
  <c r="H19"/>
  <c r="F18"/>
  <c r="H18"/>
  <c r="F17"/>
  <c r="H17"/>
  <c r="F16"/>
  <c r="H16"/>
  <c r="F15"/>
  <c r="H15"/>
  <c r="F14"/>
  <c r="H14"/>
  <c r="F13"/>
  <c r="H13"/>
  <c r="F12"/>
  <c r="H12"/>
  <c r="F11"/>
  <c r="H11"/>
  <c r="F10"/>
  <c r="F20"/>
  <c r="D9"/>
  <c r="F8"/>
  <c r="H8"/>
  <c r="F7"/>
  <c r="H7"/>
  <c r="F6"/>
  <c r="H6"/>
  <c r="F5"/>
  <c r="H5"/>
  <c r="F4"/>
  <c r="F9"/>
  <c r="C40" i="51"/>
  <c r="G39"/>
  <c r="D39"/>
  <c r="F38"/>
  <c r="F37"/>
  <c r="F36"/>
  <c r="F35"/>
  <c r="F34"/>
  <c r="F33"/>
  <c r="F32"/>
  <c r="F31"/>
  <c r="F39"/>
  <c r="G30"/>
  <c r="D30"/>
  <c r="F29"/>
  <c r="H38"/>
  <c r="F28"/>
  <c r="H37"/>
  <c r="F27"/>
  <c r="H36"/>
  <c r="F26"/>
  <c r="H33"/>
  <c r="F25"/>
  <c r="H32"/>
  <c r="F24"/>
  <c r="H31"/>
  <c r="G23"/>
  <c r="D23"/>
  <c r="F22"/>
  <c r="H22"/>
  <c r="F21"/>
  <c r="H21"/>
  <c r="F20"/>
  <c r="H20"/>
  <c r="F19"/>
  <c r="H19"/>
  <c r="F18"/>
  <c r="H18"/>
  <c r="F17"/>
  <c r="F23"/>
  <c r="G16"/>
  <c r="D16"/>
  <c r="F15"/>
  <c r="H15"/>
  <c r="F14"/>
  <c r="H14"/>
  <c r="F13"/>
  <c r="H13"/>
  <c r="F12"/>
  <c r="H12"/>
  <c r="F11"/>
  <c r="H11"/>
  <c r="H16"/>
  <c r="H23"/>
  <c r="F10"/>
  <c r="F16"/>
  <c r="G9"/>
  <c r="D9"/>
  <c r="F8"/>
  <c r="H8"/>
  <c r="F7"/>
  <c r="H7"/>
  <c r="F6"/>
  <c r="H6"/>
  <c r="F5"/>
  <c r="F9"/>
  <c r="C47" i="29"/>
  <c r="G45"/>
  <c r="G44"/>
  <c r="G46"/>
  <c r="E43"/>
  <c r="G42"/>
  <c r="G41"/>
  <c r="G40"/>
  <c r="G43"/>
  <c r="E39"/>
  <c r="G38"/>
  <c r="G37"/>
  <c r="G36"/>
  <c r="G35"/>
  <c r="G39"/>
  <c r="E34"/>
  <c r="G33"/>
  <c r="G32"/>
  <c r="G31"/>
  <c r="G30"/>
  <c r="G34"/>
  <c r="E29"/>
  <c r="G28"/>
  <c r="G27"/>
  <c r="G26"/>
  <c r="G25"/>
  <c r="G29"/>
  <c r="E24"/>
  <c r="G23"/>
  <c r="G22"/>
  <c r="G21"/>
  <c r="G24"/>
  <c r="E20"/>
  <c r="G19"/>
  <c r="G18"/>
  <c r="G17"/>
  <c r="G16"/>
  <c r="G15"/>
  <c r="G14"/>
  <c r="G20"/>
  <c r="E13"/>
  <c r="G12"/>
  <c r="G11"/>
  <c r="G10"/>
  <c r="G9"/>
  <c r="G8"/>
  <c r="G13"/>
  <c r="E7"/>
  <c r="G6"/>
  <c r="G5"/>
  <c r="G7"/>
  <c r="C50" i="64"/>
  <c r="E49"/>
  <c r="G47"/>
  <c r="G46"/>
  <c r="G45"/>
  <c r="G49"/>
  <c r="E44"/>
  <c r="G43"/>
  <c r="G42"/>
  <c r="G41"/>
  <c r="G40"/>
  <c r="G44"/>
  <c r="E39"/>
  <c r="G38"/>
  <c r="G37"/>
  <c r="G36"/>
  <c r="G35"/>
  <c r="G39"/>
  <c r="E34"/>
  <c r="G33"/>
  <c r="G32"/>
  <c r="G31"/>
  <c r="G30"/>
  <c r="G34"/>
  <c r="E29"/>
  <c r="G28"/>
  <c r="G27"/>
  <c r="G26"/>
  <c r="G29"/>
  <c r="E25"/>
  <c r="G23"/>
  <c r="G22"/>
  <c r="G21"/>
  <c r="G25"/>
  <c r="E20"/>
  <c r="G17"/>
  <c r="G16"/>
  <c r="G15"/>
  <c r="G14"/>
  <c r="G20"/>
  <c r="E13"/>
  <c r="G12"/>
  <c r="G11"/>
  <c r="G10"/>
  <c r="G9"/>
  <c r="G8"/>
  <c r="G13"/>
  <c r="E7"/>
  <c r="G6"/>
  <c r="G5"/>
  <c r="G7"/>
  <c r="C29" i="31"/>
  <c r="G28"/>
  <c r="G27"/>
  <c r="H27"/>
  <c r="G26"/>
  <c r="G25"/>
  <c r="H25"/>
  <c r="G24"/>
  <c r="G23"/>
  <c r="G22"/>
  <c r="G21"/>
  <c r="G20"/>
  <c r="H20"/>
  <c r="G19"/>
  <c r="G18"/>
  <c r="G17"/>
  <c r="G16"/>
  <c r="G15"/>
  <c r="H15"/>
  <c r="G14"/>
  <c r="G13"/>
  <c r="G12"/>
  <c r="H12"/>
  <c r="G11"/>
  <c r="G10"/>
  <c r="H10"/>
  <c r="G9"/>
  <c r="G8"/>
  <c r="G7"/>
  <c r="G6"/>
  <c r="H6"/>
  <c r="G5"/>
  <c r="G4"/>
  <c r="H4"/>
  <c r="C75" i="52"/>
  <c r="G74"/>
  <c r="D74"/>
  <c r="F73"/>
  <c r="H73"/>
  <c r="H74"/>
  <c r="F72"/>
  <c r="F74"/>
  <c r="D71"/>
  <c r="F70"/>
  <c r="H70"/>
  <c r="F69"/>
  <c r="F71"/>
  <c r="G68"/>
  <c r="G71"/>
  <c r="D68"/>
  <c r="F67"/>
  <c r="H67"/>
  <c r="F66"/>
  <c r="H66"/>
  <c r="F65"/>
  <c r="H65"/>
  <c r="F64"/>
  <c r="H64"/>
  <c r="F63"/>
  <c r="F68"/>
  <c r="G62"/>
  <c r="D62"/>
  <c r="F61"/>
  <c r="H61"/>
  <c r="F60"/>
  <c r="H60"/>
  <c r="H62"/>
  <c r="F59"/>
  <c r="F62"/>
  <c r="G58"/>
  <c r="D58"/>
  <c r="F57"/>
  <c r="H57"/>
  <c r="F56"/>
  <c r="H56"/>
  <c r="F55"/>
  <c r="H55"/>
  <c r="F54"/>
  <c r="H54"/>
  <c r="F53"/>
  <c r="H53"/>
  <c r="H58"/>
  <c r="F52"/>
  <c r="F58"/>
  <c r="G51"/>
  <c r="D51"/>
  <c r="F50"/>
  <c r="H50"/>
  <c r="F49"/>
  <c r="H49"/>
  <c r="F48"/>
  <c r="H48"/>
  <c r="F47"/>
  <c r="H47"/>
  <c r="F46"/>
  <c r="H46"/>
  <c r="H51"/>
  <c r="F45"/>
  <c r="F51"/>
  <c r="D44"/>
  <c r="F43"/>
  <c r="H43"/>
  <c r="F42"/>
  <c r="H42"/>
  <c r="F41"/>
  <c r="H41"/>
  <c r="F40"/>
  <c r="F44"/>
  <c r="D39"/>
  <c r="F38"/>
  <c r="H38"/>
  <c r="F37"/>
  <c r="H37"/>
  <c r="H39"/>
  <c r="F36"/>
  <c r="H36"/>
  <c r="F35"/>
  <c r="F39"/>
  <c r="D34"/>
  <c r="F33"/>
  <c r="H33"/>
  <c r="F32"/>
  <c r="H32"/>
  <c r="F31"/>
  <c r="H31"/>
  <c r="H34"/>
  <c r="F30"/>
  <c r="H30"/>
  <c r="F34"/>
  <c r="D29"/>
  <c r="F28"/>
  <c r="H28"/>
  <c r="H29"/>
  <c r="F27"/>
  <c r="F29"/>
  <c r="G26"/>
  <c r="G29"/>
  <c r="G34"/>
  <c r="G39"/>
  <c r="G44"/>
  <c r="D26"/>
  <c r="F25"/>
  <c r="H25"/>
  <c r="F24"/>
  <c r="H24"/>
  <c r="F23"/>
  <c r="H23"/>
  <c r="F22"/>
  <c r="H22"/>
  <c r="F21"/>
  <c r="H21"/>
  <c r="H26"/>
  <c r="F20"/>
  <c r="F26"/>
  <c r="G19"/>
  <c r="D19"/>
  <c r="F18"/>
  <c r="H18"/>
  <c r="F17"/>
  <c r="H17"/>
  <c r="F16"/>
  <c r="H16"/>
  <c r="F15"/>
  <c r="H15"/>
  <c r="H19"/>
  <c r="F14"/>
  <c r="F19"/>
  <c r="G13"/>
  <c r="D13"/>
  <c r="F12"/>
  <c r="H12"/>
  <c r="H13"/>
  <c r="F11"/>
  <c r="H11"/>
  <c r="F10"/>
  <c r="F13"/>
  <c r="G9"/>
  <c r="D9"/>
  <c r="F8"/>
  <c r="H8"/>
  <c r="F7"/>
  <c r="H7"/>
  <c r="F6"/>
  <c r="H6"/>
  <c r="F5"/>
  <c r="F9"/>
  <c r="C38" i="54"/>
  <c r="E37"/>
  <c r="G37"/>
  <c r="E36"/>
  <c r="G36"/>
  <c r="E35"/>
  <c r="G35"/>
  <c r="E34"/>
  <c r="G34"/>
  <c r="E33"/>
  <c r="G33"/>
  <c r="E32"/>
  <c r="G32"/>
  <c r="E31"/>
  <c r="G31"/>
  <c r="E30"/>
  <c r="G30"/>
  <c r="E29"/>
  <c r="E38"/>
  <c r="E27"/>
  <c r="G27"/>
  <c r="E26"/>
  <c r="G26"/>
  <c r="E25"/>
  <c r="G25"/>
  <c r="E24"/>
  <c r="G24"/>
  <c r="E23"/>
  <c r="G23"/>
  <c r="E22"/>
  <c r="G22"/>
  <c r="E21"/>
  <c r="G21"/>
  <c r="E20"/>
  <c r="G20"/>
  <c r="E19"/>
  <c r="G19"/>
  <c r="E18"/>
  <c r="G18"/>
  <c r="E17"/>
  <c r="G17"/>
  <c r="G28"/>
  <c r="E28"/>
  <c r="F16"/>
  <c r="F28"/>
  <c r="F38"/>
  <c r="E15"/>
  <c r="G15"/>
  <c r="E14"/>
  <c r="G14"/>
  <c r="E13"/>
  <c r="G13"/>
  <c r="E12"/>
  <c r="G12"/>
  <c r="E11"/>
  <c r="G11"/>
  <c r="E10"/>
  <c r="G10"/>
  <c r="E9"/>
  <c r="G9"/>
  <c r="E8"/>
  <c r="G8"/>
  <c r="E7"/>
  <c r="G7"/>
  <c r="E6"/>
  <c r="G6"/>
  <c r="E5"/>
  <c r="E16"/>
  <c r="C27" i="72"/>
  <c r="E32" i="63"/>
  <c r="K31"/>
  <c r="C31"/>
  <c r="K30"/>
  <c r="K29"/>
  <c r="K28"/>
  <c r="K27"/>
  <c r="C27"/>
  <c r="K26"/>
  <c r="K25"/>
  <c r="K24"/>
  <c r="K23"/>
  <c r="K22"/>
  <c r="K21"/>
  <c r="K20"/>
  <c r="K19"/>
  <c r="C18"/>
  <c r="K16"/>
  <c r="K15"/>
  <c r="K14"/>
  <c r="C14"/>
  <c r="K13"/>
  <c r="C13"/>
  <c r="K32"/>
  <c r="K33"/>
  <c r="K12"/>
  <c r="K11"/>
  <c r="K10"/>
  <c r="K9"/>
  <c r="K8"/>
  <c r="C65" i="55"/>
  <c r="D10"/>
  <c r="D14"/>
  <c r="D18"/>
  <c r="D21"/>
  <c r="D25"/>
  <c r="D36"/>
  <c r="D43"/>
  <c r="D50"/>
  <c r="D55"/>
  <c r="D65"/>
  <c r="F59" i="11"/>
  <c r="H58"/>
  <c r="H57"/>
  <c r="H56"/>
  <c r="H55"/>
  <c r="H54"/>
  <c r="H59"/>
  <c r="F53"/>
  <c r="H52"/>
  <c r="H51"/>
  <c r="H50"/>
  <c r="H53"/>
  <c r="F49"/>
  <c r="H48"/>
  <c r="H47"/>
  <c r="H46"/>
  <c r="H49"/>
  <c r="F45"/>
  <c r="H44"/>
  <c r="H43"/>
  <c r="H42"/>
  <c r="H41"/>
  <c r="H40"/>
  <c r="H39"/>
  <c r="H38"/>
  <c r="H37"/>
  <c r="H36"/>
  <c r="H35"/>
  <c r="H34"/>
  <c r="H33"/>
  <c r="H32"/>
  <c r="H31"/>
  <c r="H30"/>
  <c r="H29"/>
  <c r="H28"/>
  <c r="H27"/>
  <c r="F26"/>
  <c r="H25"/>
  <c r="H24"/>
  <c r="H23"/>
  <c r="H22"/>
  <c r="H21"/>
  <c r="H20"/>
  <c r="H19"/>
  <c r="H18"/>
  <c r="H26"/>
  <c r="F17"/>
  <c r="H16"/>
  <c r="H15"/>
  <c r="F14"/>
  <c r="H13"/>
  <c r="H12"/>
  <c r="H11"/>
  <c r="F10"/>
  <c r="H9"/>
  <c r="H8"/>
  <c r="H10"/>
  <c r="F7"/>
  <c r="H6"/>
  <c r="H5"/>
  <c r="H4"/>
  <c r="H3"/>
  <c r="H7"/>
  <c r="H60"/>
  <c r="H61"/>
  <c r="E26" i="72"/>
  <c r="G26"/>
  <c r="E25"/>
  <c r="G25"/>
  <c r="E24"/>
  <c r="G24"/>
  <c r="E23"/>
  <c r="G23"/>
  <c r="E22"/>
  <c r="G22"/>
  <c r="E21"/>
  <c r="G21"/>
  <c r="E20"/>
  <c r="G20"/>
  <c r="E19"/>
  <c r="G19"/>
  <c r="E18"/>
  <c r="G18"/>
  <c r="E17"/>
  <c r="G17"/>
  <c r="F16"/>
  <c r="F27"/>
  <c r="E15"/>
  <c r="G15"/>
  <c r="E14"/>
  <c r="G14"/>
  <c r="E13"/>
  <c r="G13"/>
  <c r="E12"/>
  <c r="G12"/>
  <c r="E11"/>
  <c r="G11"/>
  <c r="E10"/>
  <c r="G10"/>
  <c r="E9"/>
  <c r="G9"/>
  <c r="E8"/>
  <c r="G8"/>
  <c r="E7"/>
  <c r="G7"/>
  <c r="E6"/>
  <c r="G6"/>
  <c r="E5"/>
  <c r="G5"/>
  <c r="G33" i="53"/>
  <c r="E29"/>
  <c r="G29"/>
  <c r="E28"/>
  <c r="G28"/>
  <c r="E27"/>
  <c r="G27"/>
  <c r="E30"/>
  <c r="E25"/>
  <c r="G25"/>
  <c r="E24"/>
  <c r="G24"/>
  <c r="E23"/>
  <c r="G23"/>
  <c r="E22"/>
  <c r="G22"/>
  <c r="E21"/>
  <c r="G21"/>
  <c r="E20"/>
  <c r="E19"/>
  <c r="G19"/>
  <c r="G26"/>
  <c r="E18"/>
  <c r="E17"/>
  <c r="E26"/>
  <c r="G17"/>
  <c r="F16"/>
  <c r="F26"/>
  <c r="F30"/>
  <c r="E15"/>
  <c r="G15"/>
  <c r="E14"/>
  <c r="G14"/>
  <c r="E13"/>
  <c r="G13"/>
  <c r="E12"/>
  <c r="G12"/>
  <c r="E11"/>
  <c r="G11"/>
  <c r="E10"/>
  <c r="G10"/>
  <c r="E9"/>
  <c r="G9"/>
  <c r="E8"/>
  <c r="G8"/>
  <c r="E7"/>
  <c r="G7"/>
  <c r="E6"/>
  <c r="G6"/>
  <c r="E5"/>
  <c r="G5"/>
  <c r="G16"/>
  <c r="H14" i="11"/>
  <c r="H17"/>
  <c r="H45"/>
  <c r="E16" i="72"/>
  <c r="G43" i="71"/>
  <c r="G42"/>
  <c r="G41"/>
  <c r="G40"/>
  <c r="H40"/>
  <c r="G39"/>
  <c r="G38"/>
  <c r="G37"/>
  <c r="G36"/>
  <c r="G35"/>
  <c r="H35"/>
  <c r="G34"/>
  <c r="G33"/>
  <c r="H33"/>
  <c r="G32"/>
  <c r="G31"/>
  <c r="G30"/>
  <c r="G29"/>
  <c r="G28"/>
  <c r="G27"/>
  <c r="G26"/>
  <c r="G25"/>
  <c r="H25"/>
  <c r="G24"/>
  <c r="G23"/>
  <c r="G22"/>
  <c r="G21"/>
  <c r="G20"/>
  <c r="H20"/>
  <c r="G19"/>
  <c r="G18"/>
  <c r="G17"/>
  <c r="G16"/>
  <c r="G15"/>
  <c r="H15"/>
  <c r="G14"/>
  <c r="G13"/>
  <c r="G12"/>
  <c r="G11"/>
  <c r="G10"/>
  <c r="H10"/>
  <c r="G9"/>
  <c r="G8"/>
  <c r="G7"/>
  <c r="G6"/>
  <c r="G5"/>
  <c r="G4"/>
  <c r="G3"/>
  <c r="H3"/>
  <c r="F35" i="70"/>
  <c r="C35"/>
  <c r="F28"/>
  <c r="D28"/>
  <c r="F21"/>
  <c r="D21"/>
  <c r="F12"/>
  <c r="F34" i="65"/>
  <c r="C34"/>
  <c r="F27"/>
  <c r="F20"/>
  <c r="F11"/>
  <c r="F43" i="34"/>
  <c r="C43"/>
  <c r="F36"/>
  <c r="F23"/>
  <c r="F13"/>
  <c r="E21" i="66"/>
  <c r="E20"/>
  <c r="E19"/>
  <c r="E18"/>
  <c r="E17"/>
  <c r="E16"/>
  <c r="E15"/>
  <c r="E22"/>
  <c r="C15"/>
  <c r="E13"/>
  <c r="E12"/>
  <c r="E14"/>
  <c r="C12"/>
  <c r="E10"/>
  <c r="E9"/>
  <c r="E8"/>
  <c r="E11"/>
  <c r="C8"/>
  <c r="E6"/>
  <c r="E5"/>
  <c r="E4"/>
  <c r="E7"/>
  <c r="C4"/>
  <c r="F22" i="67"/>
  <c r="C22"/>
  <c r="F14"/>
  <c r="F7"/>
  <c r="C27" i="21"/>
  <c r="E26"/>
  <c r="G25"/>
  <c r="G24"/>
  <c r="G23"/>
  <c r="G22"/>
  <c r="G21"/>
  <c r="G20"/>
  <c r="G26"/>
  <c r="E19"/>
  <c r="G18"/>
  <c r="G17"/>
  <c r="G16"/>
  <c r="G15"/>
  <c r="G14"/>
  <c r="G19"/>
  <c r="E13"/>
  <c r="G12"/>
  <c r="G11"/>
  <c r="G10"/>
  <c r="G9"/>
  <c r="G8"/>
  <c r="G13"/>
  <c r="E7"/>
  <c r="G6"/>
  <c r="G7"/>
  <c r="G27"/>
  <c r="G28"/>
  <c r="C25" i="62"/>
  <c r="E24"/>
  <c r="G23"/>
  <c r="G22"/>
  <c r="G21"/>
  <c r="G20"/>
  <c r="G19"/>
  <c r="G24"/>
  <c r="E18"/>
  <c r="G17"/>
  <c r="G16"/>
  <c r="G15"/>
  <c r="G14"/>
  <c r="G18"/>
  <c r="E13"/>
  <c r="G12"/>
  <c r="G11"/>
  <c r="G10"/>
  <c r="G9"/>
  <c r="G13"/>
  <c r="G25"/>
  <c r="G26"/>
  <c r="E8"/>
  <c r="G7"/>
  <c r="G8"/>
  <c r="D54" i="50"/>
  <c r="F43"/>
  <c r="D43"/>
  <c r="D32"/>
  <c r="D24"/>
  <c r="D20"/>
  <c r="D9"/>
  <c r="C55"/>
  <c r="F53"/>
  <c r="H53"/>
  <c r="F52"/>
  <c r="H52"/>
  <c r="F51"/>
  <c r="H51"/>
  <c r="F50"/>
  <c r="H50"/>
  <c r="F49"/>
  <c r="H49"/>
  <c r="F48"/>
  <c r="H48"/>
  <c r="F47"/>
  <c r="H47"/>
  <c r="F46"/>
  <c r="H46"/>
  <c r="F45"/>
  <c r="H45"/>
  <c r="F44"/>
  <c r="F54"/>
  <c r="H42"/>
  <c r="H41"/>
  <c r="H40"/>
  <c r="H39"/>
  <c r="H38"/>
  <c r="H37"/>
  <c r="H36"/>
  <c r="H35"/>
  <c r="C56" i="30"/>
  <c r="E55"/>
  <c r="G54"/>
  <c r="G53"/>
  <c r="G52"/>
  <c r="G55"/>
  <c r="E51"/>
  <c r="G50"/>
  <c r="G49"/>
  <c r="G48"/>
  <c r="G47"/>
  <c r="G46"/>
  <c r="G45"/>
  <c r="G44"/>
  <c r="G43"/>
  <c r="G42"/>
  <c r="G51"/>
  <c r="E41"/>
  <c r="G40"/>
  <c r="G39"/>
  <c r="G38"/>
  <c r="G37"/>
  <c r="G36"/>
  <c r="G41"/>
  <c r="E35"/>
  <c r="G34"/>
  <c r="G33"/>
  <c r="G32"/>
  <c r="G35"/>
  <c r="E31"/>
  <c r="G30"/>
  <c r="G29"/>
  <c r="G28"/>
  <c r="G31"/>
  <c r="E27"/>
  <c r="G26"/>
  <c r="G25"/>
  <c r="G24"/>
  <c r="G23"/>
  <c r="G22"/>
  <c r="G21"/>
  <c r="G20"/>
  <c r="G19"/>
  <c r="G18"/>
  <c r="G17"/>
  <c r="G27"/>
  <c r="E16"/>
  <c r="G15"/>
  <c r="G14"/>
  <c r="G16"/>
  <c r="E13"/>
  <c r="G12"/>
  <c r="G11"/>
  <c r="G10"/>
  <c r="G13"/>
  <c r="E9"/>
  <c r="G8"/>
  <c r="G7"/>
  <c r="G6"/>
  <c r="G9"/>
  <c r="E57"/>
  <c r="F57"/>
  <c r="F38" i="33"/>
  <c r="H37"/>
  <c r="H36"/>
  <c r="H35"/>
  <c r="H34"/>
  <c r="H38"/>
  <c r="F33"/>
  <c r="H32"/>
  <c r="H31"/>
  <c r="H30"/>
  <c r="H33"/>
  <c r="F29"/>
  <c r="H28"/>
  <c r="H27"/>
  <c r="H26"/>
  <c r="H29"/>
  <c r="F25"/>
  <c r="H24"/>
  <c r="H23"/>
  <c r="H22"/>
  <c r="H21"/>
  <c r="H25"/>
  <c r="F20"/>
  <c r="H19"/>
  <c r="H18"/>
  <c r="H20"/>
  <c r="F17"/>
  <c r="H16"/>
  <c r="H15"/>
  <c r="H14"/>
  <c r="H13"/>
  <c r="H17"/>
  <c r="F12"/>
  <c r="H11"/>
  <c r="H10"/>
  <c r="H12"/>
  <c r="F9"/>
  <c r="H8"/>
  <c r="H7"/>
  <c r="H6"/>
  <c r="H9"/>
  <c r="F5"/>
  <c r="H4"/>
  <c r="H3"/>
  <c r="H5"/>
  <c r="H39"/>
  <c r="H40"/>
  <c r="F45" i="32"/>
  <c r="H44"/>
  <c r="H43"/>
  <c r="H42"/>
  <c r="H41"/>
  <c r="H40"/>
  <c r="H39"/>
  <c r="H45"/>
  <c r="F38"/>
  <c r="H37"/>
  <c r="H36"/>
  <c r="H38"/>
  <c r="F35"/>
  <c r="H34"/>
  <c r="H33"/>
  <c r="H32"/>
  <c r="H31"/>
  <c r="H30"/>
  <c r="H29"/>
  <c r="H28"/>
  <c r="H27"/>
  <c r="H26"/>
  <c r="H25"/>
  <c r="H24"/>
  <c r="H35"/>
  <c r="F23"/>
  <c r="H22"/>
  <c r="H21"/>
  <c r="H20"/>
  <c r="H19"/>
  <c r="H18"/>
  <c r="H17"/>
  <c r="H16"/>
  <c r="H23"/>
  <c r="F15"/>
  <c r="H14"/>
  <c r="H13"/>
  <c r="H12"/>
  <c r="H11"/>
  <c r="H15"/>
  <c r="F10"/>
  <c r="H9"/>
  <c r="H8"/>
  <c r="H7"/>
  <c r="H10"/>
  <c r="F6"/>
  <c r="H5"/>
  <c r="H4"/>
  <c r="H6"/>
  <c r="H46"/>
  <c r="H47"/>
  <c r="F31" i="50"/>
  <c r="H31"/>
  <c r="F30"/>
  <c r="H30"/>
  <c r="F29"/>
  <c r="H29"/>
  <c r="F28"/>
  <c r="H28"/>
  <c r="F27"/>
  <c r="H27"/>
  <c r="F26"/>
  <c r="H26"/>
  <c r="F25"/>
  <c r="F23"/>
  <c r="H23"/>
  <c r="F22"/>
  <c r="H22"/>
  <c r="F21"/>
  <c r="F24"/>
  <c r="F19"/>
  <c r="H19"/>
  <c r="F18"/>
  <c r="H18"/>
  <c r="F17"/>
  <c r="H17"/>
  <c r="F16"/>
  <c r="H16"/>
  <c r="F15"/>
  <c r="H15"/>
  <c r="F14"/>
  <c r="H14"/>
  <c r="F13"/>
  <c r="H13"/>
  <c r="F12"/>
  <c r="H12"/>
  <c r="F11"/>
  <c r="H11"/>
  <c r="F10"/>
  <c r="F8"/>
  <c r="H8"/>
  <c r="F7"/>
  <c r="H7"/>
  <c r="F6"/>
  <c r="H6"/>
  <c r="F5"/>
  <c r="H5"/>
  <c r="F4"/>
  <c r="F9"/>
  <c r="H21"/>
  <c r="H24"/>
  <c r="H34"/>
  <c r="H44"/>
  <c r="H54"/>
  <c r="H33"/>
  <c r="H43"/>
  <c r="H4"/>
  <c r="H9"/>
  <c r="H25"/>
  <c r="H32"/>
  <c r="E73" i="19"/>
  <c r="G73"/>
  <c r="E72"/>
  <c r="G72"/>
  <c r="E71"/>
  <c r="E74"/>
  <c r="E69"/>
  <c r="G69"/>
  <c r="E68"/>
  <c r="G68"/>
  <c r="E67"/>
  <c r="G67"/>
  <c r="E66"/>
  <c r="G66"/>
  <c r="E65"/>
  <c r="G65"/>
  <c r="E64"/>
  <c r="G64"/>
  <c r="E63"/>
  <c r="G63"/>
  <c r="E62"/>
  <c r="G62"/>
  <c r="E61"/>
  <c r="G61"/>
  <c r="E60"/>
  <c r="G60"/>
  <c r="E59"/>
  <c r="G59"/>
  <c r="E58"/>
  <c r="G58"/>
  <c r="E57"/>
  <c r="G57"/>
  <c r="E56"/>
  <c r="G56"/>
  <c r="E55"/>
  <c r="G55"/>
  <c r="C55"/>
  <c r="G70"/>
  <c r="E53"/>
  <c r="G53"/>
  <c r="E52"/>
  <c r="G52"/>
  <c r="E51"/>
  <c r="G51"/>
  <c r="E50"/>
  <c r="C50"/>
  <c r="E48"/>
  <c r="G48"/>
  <c r="E47"/>
  <c r="G47"/>
  <c r="G49"/>
  <c r="E45"/>
  <c r="G45"/>
  <c r="E44"/>
  <c r="G44"/>
  <c r="E43"/>
  <c r="G43"/>
  <c r="E42"/>
  <c r="G42"/>
  <c r="E41"/>
  <c r="G41"/>
  <c r="E40"/>
  <c r="G40"/>
  <c r="E39"/>
  <c r="G39"/>
  <c r="E38"/>
  <c r="G38"/>
  <c r="E37"/>
  <c r="G37"/>
  <c r="C37"/>
  <c r="G46"/>
  <c r="E35"/>
  <c r="G35"/>
  <c r="E34"/>
  <c r="G34"/>
  <c r="E33"/>
  <c r="C33"/>
  <c r="E31"/>
  <c r="G31"/>
  <c r="E30"/>
  <c r="G30"/>
  <c r="E29"/>
  <c r="G29"/>
  <c r="G32"/>
  <c r="E27"/>
  <c r="G27"/>
  <c r="E26"/>
  <c r="G26"/>
  <c r="E25"/>
  <c r="G25"/>
  <c r="E24"/>
  <c r="G24"/>
  <c r="E23"/>
  <c r="G23"/>
  <c r="E22"/>
  <c r="G22"/>
  <c r="E21"/>
  <c r="G21"/>
  <c r="G28"/>
  <c r="E19"/>
  <c r="G19"/>
  <c r="E18"/>
  <c r="G18"/>
  <c r="E17"/>
  <c r="G17"/>
  <c r="E16"/>
  <c r="G16"/>
  <c r="C16"/>
  <c r="E14"/>
  <c r="G14"/>
  <c r="E13"/>
  <c r="G13"/>
  <c r="E12"/>
  <c r="G12"/>
  <c r="E11"/>
  <c r="G11"/>
  <c r="E10"/>
  <c r="G10"/>
  <c r="E9"/>
  <c r="G9"/>
  <c r="E8"/>
  <c r="G8"/>
  <c r="E7"/>
  <c r="G7"/>
  <c r="E6"/>
  <c r="G6"/>
  <c r="E5"/>
  <c r="C5"/>
  <c r="C37" i="61"/>
  <c r="E36"/>
  <c r="G35"/>
  <c r="G34"/>
  <c r="G36"/>
  <c r="E33"/>
  <c r="G32"/>
  <c r="G31"/>
  <c r="G33"/>
  <c r="E30"/>
  <c r="G29"/>
  <c r="G28"/>
  <c r="G27"/>
  <c r="G30"/>
  <c r="E26"/>
  <c r="G25"/>
  <c r="G24"/>
  <c r="G23"/>
  <c r="G26"/>
  <c r="E22"/>
  <c r="G21"/>
  <c r="G20"/>
  <c r="G19"/>
  <c r="G22"/>
  <c r="E18"/>
  <c r="G17"/>
  <c r="G16"/>
  <c r="G15"/>
  <c r="G18"/>
  <c r="E14"/>
  <c r="G13"/>
  <c r="G14"/>
  <c r="E12"/>
  <c r="G11"/>
  <c r="G10"/>
  <c r="G9"/>
  <c r="G12"/>
  <c r="E8"/>
  <c r="G7"/>
  <c r="G6"/>
  <c r="G5"/>
  <c r="G8"/>
  <c r="G37"/>
  <c r="G38"/>
  <c r="D54" i="18"/>
  <c r="F53"/>
  <c r="H53"/>
  <c r="F52"/>
  <c r="H52"/>
  <c r="F51"/>
  <c r="H51"/>
  <c r="F50"/>
  <c r="F54"/>
  <c r="C50"/>
  <c r="D49"/>
  <c r="F48"/>
  <c r="H48"/>
  <c r="F47"/>
  <c r="H47"/>
  <c r="F46"/>
  <c r="H46"/>
  <c r="F45"/>
  <c r="H45"/>
  <c r="F44"/>
  <c r="F49"/>
  <c r="C44"/>
  <c r="D43"/>
  <c r="F42"/>
  <c r="H42"/>
  <c r="F41"/>
  <c r="H41"/>
  <c r="F40"/>
  <c r="H40"/>
  <c r="F39"/>
  <c r="F43"/>
  <c r="C39"/>
  <c r="D38"/>
  <c r="F37"/>
  <c r="H37"/>
  <c r="F36"/>
  <c r="F38"/>
  <c r="C36"/>
  <c r="D35"/>
  <c r="F34"/>
  <c r="H34"/>
  <c r="F33"/>
  <c r="H33"/>
  <c r="F32"/>
  <c r="H32"/>
  <c r="F31"/>
  <c r="C31"/>
  <c r="D30"/>
  <c r="F29"/>
  <c r="H29"/>
  <c r="F28"/>
  <c r="H28"/>
  <c r="F27"/>
  <c r="H27"/>
  <c r="F26"/>
  <c r="H26"/>
  <c r="F25"/>
  <c r="H25"/>
  <c r="F24"/>
  <c r="H24"/>
  <c r="F23"/>
  <c r="F30"/>
  <c r="C23"/>
  <c r="D22"/>
  <c r="F21"/>
  <c r="H21"/>
  <c r="F20"/>
  <c r="H20"/>
  <c r="F19"/>
  <c r="F22"/>
  <c r="C19"/>
  <c r="D18"/>
  <c r="F17"/>
  <c r="H17"/>
  <c r="F16"/>
  <c r="H16"/>
  <c r="F15"/>
  <c r="F18"/>
  <c r="C15"/>
  <c r="D14"/>
  <c r="F13"/>
  <c r="H13"/>
  <c r="F12"/>
  <c r="H12"/>
  <c r="F11"/>
  <c r="H11"/>
  <c r="F10"/>
  <c r="H10"/>
  <c r="F9"/>
  <c r="H9"/>
  <c r="F8"/>
  <c r="H8"/>
  <c r="F7"/>
  <c r="H7"/>
  <c r="F6"/>
  <c r="H6"/>
  <c r="F5"/>
  <c r="F14"/>
  <c r="C5"/>
  <c r="F64" i="55"/>
  <c r="H64"/>
  <c r="F63"/>
  <c r="H63"/>
  <c r="F62"/>
  <c r="H62"/>
  <c r="F61"/>
  <c r="H61"/>
  <c r="F60"/>
  <c r="H60"/>
  <c r="F59"/>
  <c r="H59"/>
  <c r="F58"/>
  <c r="H58"/>
  <c r="F57"/>
  <c r="H57"/>
  <c r="F56"/>
  <c r="H56"/>
  <c r="H65"/>
  <c r="F65"/>
  <c r="F54"/>
  <c r="H54"/>
  <c r="F53"/>
  <c r="H53"/>
  <c r="F52"/>
  <c r="H52"/>
  <c r="F51"/>
  <c r="F49"/>
  <c r="H49"/>
  <c r="F48"/>
  <c r="H48"/>
  <c r="F47"/>
  <c r="H47"/>
  <c r="F46"/>
  <c r="H46"/>
  <c r="F45"/>
  <c r="H45"/>
  <c r="F44"/>
  <c r="F42"/>
  <c r="H42"/>
  <c r="F41"/>
  <c r="H41"/>
  <c r="F40"/>
  <c r="H40"/>
  <c r="F39"/>
  <c r="H39"/>
  <c r="F38"/>
  <c r="H38"/>
  <c r="F37"/>
  <c r="H37"/>
  <c r="H43"/>
  <c r="F35"/>
  <c r="H35"/>
  <c r="F34"/>
  <c r="H34"/>
  <c r="F33"/>
  <c r="H33"/>
  <c r="F32"/>
  <c r="H32"/>
  <c r="F31"/>
  <c r="H31"/>
  <c r="F30"/>
  <c r="H30"/>
  <c r="F29"/>
  <c r="H29"/>
  <c r="F28"/>
  <c r="H28"/>
  <c r="F27"/>
  <c r="H27"/>
  <c r="F26"/>
  <c r="F24"/>
  <c r="H24"/>
  <c r="F23"/>
  <c r="H23"/>
  <c r="H25"/>
  <c r="F22"/>
  <c r="F20"/>
  <c r="H20"/>
  <c r="F19"/>
  <c r="F21"/>
  <c r="H19"/>
  <c r="H21"/>
  <c r="F17"/>
  <c r="H17"/>
  <c r="F16"/>
  <c r="H16"/>
  <c r="F15"/>
  <c r="H15"/>
  <c r="H18"/>
  <c r="F13"/>
  <c r="H13"/>
  <c r="F12"/>
  <c r="H12"/>
  <c r="F11"/>
  <c r="H11"/>
  <c r="H14"/>
  <c r="F9"/>
  <c r="H9"/>
  <c r="F8"/>
  <c r="H8"/>
  <c r="F7"/>
  <c r="H7"/>
  <c r="F6"/>
  <c r="H6"/>
  <c r="F5"/>
  <c r="H5"/>
  <c r="H10"/>
  <c r="H66"/>
  <c r="H67"/>
  <c r="F10"/>
  <c r="H51"/>
  <c r="H55"/>
  <c r="H22"/>
  <c r="C45" i="68"/>
  <c r="E44"/>
  <c r="G43"/>
  <c r="G44"/>
  <c r="E42"/>
  <c r="G41"/>
  <c r="G42"/>
  <c r="E40"/>
  <c r="G39"/>
  <c r="G40"/>
  <c r="E38"/>
  <c r="G37"/>
  <c r="G38"/>
  <c r="E36"/>
  <c r="G35"/>
  <c r="G36"/>
  <c r="E34"/>
  <c r="G33"/>
  <c r="G34"/>
  <c r="E32"/>
  <c r="G31"/>
  <c r="G32"/>
  <c r="E30"/>
  <c r="G29"/>
  <c r="G28"/>
  <c r="G27"/>
  <c r="G26"/>
  <c r="G25"/>
  <c r="G24"/>
  <c r="G23"/>
  <c r="G22"/>
  <c r="G30"/>
  <c r="E21"/>
  <c r="G20"/>
  <c r="G19"/>
  <c r="G18"/>
  <c r="G17"/>
  <c r="G16"/>
  <c r="G15"/>
  <c r="G14"/>
  <c r="G21"/>
  <c r="E13"/>
  <c r="G12"/>
  <c r="G11"/>
  <c r="G10"/>
  <c r="G9"/>
  <c r="G13"/>
  <c r="G45"/>
  <c r="G46"/>
  <c r="E8"/>
  <c r="G7"/>
  <c r="G8"/>
  <c r="E6"/>
  <c r="G5"/>
  <c r="G6"/>
  <c r="G62" i="49"/>
  <c r="G61"/>
  <c r="G60"/>
  <c r="G59"/>
  <c r="G58"/>
  <c r="G57"/>
  <c r="G56"/>
  <c r="G55"/>
  <c r="G54"/>
  <c r="G53"/>
  <c r="H53"/>
  <c r="G52"/>
  <c r="G51"/>
  <c r="G50"/>
  <c r="G49"/>
  <c r="G48"/>
  <c r="G47"/>
  <c r="G46"/>
  <c r="G45"/>
  <c r="H45"/>
  <c r="G44"/>
  <c r="G43"/>
  <c r="G42"/>
  <c r="H42"/>
  <c r="G41"/>
  <c r="G40"/>
  <c r="G39"/>
  <c r="G38"/>
  <c r="H38"/>
  <c r="G37"/>
  <c r="G36"/>
  <c r="H36"/>
  <c r="G35"/>
  <c r="G34"/>
  <c r="G33"/>
  <c r="G32"/>
  <c r="G31"/>
  <c r="G30"/>
  <c r="G29"/>
  <c r="G28"/>
  <c r="G27"/>
  <c r="H27"/>
  <c r="G26"/>
  <c r="G25"/>
  <c r="G24"/>
  <c r="G23"/>
  <c r="G22"/>
  <c r="G21"/>
  <c r="H21"/>
  <c r="G20"/>
  <c r="G19"/>
  <c r="G18"/>
  <c r="G17"/>
  <c r="G16"/>
  <c r="H16"/>
  <c r="G15"/>
  <c r="G14"/>
  <c r="G13"/>
  <c r="G12"/>
  <c r="G11"/>
  <c r="H11"/>
  <c r="G10"/>
  <c r="G9"/>
  <c r="G8"/>
  <c r="G7"/>
  <c r="G6"/>
  <c r="G5"/>
  <c r="G4"/>
  <c r="G3"/>
  <c r="H3"/>
  <c r="G48" i="47"/>
  <c r="G47"/>
  <c r="H47"/>
  <c r="G46"/>
  <c r="H46"/>
  <c r="G45"/>
  <c r="G44"/>
  <c r="G43"/>
  <c r="G42"/>
  <c r="G41"/>
  <c r="H41"/>
  <c r="G40"/>
  <c r="G39"/>
  <c r="G38"/>
  <c r="H38"/>
  <c r="G37"/>
  <c r="G36"/>
  <c r="G35"/>
  <c r="G34"/>
  <c r="G33"/>
  <c r="G32"/>
  <c r="G31"/>
  <c r="G30"/>
  <c r="G29"/>
  <c r="H29"/>
  <c r="G28"/>
  <c r="G27"/>
  <c r="G26"/>
  <c r="H26"/>
  <c r="G25"/>
  <c r="G24"/>
  <c r="G23"/>
  <c r="G22"/>
  <c r="G21"/>
  <c r="H21"/>
  <c r="G20"/>
  <c r="G19"/>
  <c r="G18"/>
  <c r="G17"/>
  <c r="G16"/>
  <c r="H16"/>
  <c r="G15"/>
  <c r="G14"/>
  <c r="G13"/>
  <c r="G12"/>
  <c r="G11"/>
  <c r="H11"/>
  <c r="G10"/>
  <c r="G9"/>
  <c r="G8"/>
  <c r="G7"/>
  <c r="G6"/>
  <c r="H6"/>
  <c r="H49"/>
  <c r="G5"/>
  <c r="G4"/>
  <c r="G3"/>
  <c r="H3"/>
  <c r="E11" i="41"/>
  <c r="G10"/>
  <c r="G9"/>
  <c r="G8"/>
  <c r="G7"/>
  <c r="G6"/>
  <c r="G5"/>
  <c r="E11" i="40"/>
  <c r="G10"/>
  <c r="G9"/>
  <c r="G8"/>
  <c r="G7"/>
  <c r="G6"/>
  <c r="G5"/>
  <c r="G11"/>
  <c r="G12"/>
  <c r="G11" i="41"/>
  <c r="G12"/>
  <c r="E12" i="39"/>
  <c r="G11"/>
  <c r="G10"/>
  <c r="G9"/>
  <c r="G8"/>
  <c r="G7"/>
  <c r="G6"/>
  <c r="G5"/>
  <c r="C73" i="2"/>
  <c r="G8"/>
  <c r="G10"/>
  <c r="C24" i="38"/>
  <c r="E23"/>
  <c r="G22"/>
  <c r="G21"/>
  <c r="G20"/>
  <c r="G19"/>
  <c r="G18"/>
  <c r="G17"/>
  <c r="G23"/>
  <c r="E16"/>
  <c r="G15"/>
  <c r="G14"/>
  <c r="G13"/>
  <c r="G16"/>
  <c r="E12"/>
  <c r="G11"/>
  <c r="G10"/>
  <c r="G9"/>
  <c r="G8"/>
  <c r="G7"/>
  <c r="G6"/>
  <c r="G5"/>
  <c r="G12"/>
  <c r="G24"/>
  <c r="G25"/>
  <c r="C20" i="24"/>
  <c r="E19"/>
  <c r="G18"/>
  <c r="G17"/>
  <c r="G16"/>
  <c r="G15"/>
  <c r="G14"/>
  <c r="G13"/>
  <c r="G12"/>
  <c r="G19"/>
  <c r="E11"/>
  <c r="G10"/>
  <c r="G9"/>
  <c r="G8"/>
  <c r="G7"/>
  <c r="G6"/>
  <c r="G5"/>
  <c r="G11"/>
  <c r="G20"/>
  <c r="G21"/>
  <c r="C24" i="37"/>
  <c r="E23"/>
  <c r="G22"/>
  <c r="G21"/>
  <c r="G20"/>
  <c r="G19"/>
  <c r="G23"/>
  <c r="E18"/>
  <c r="G17"/>
  <c r="G16"/>
  <c r="G15"/>
  <c r="G18"/>
  <c r="E14"/>
  <c r="G13"/>
  <c r="G14"/>
  <c r="E12"/>
  <c r="G11"/>
  <c r="G10"/>
  <c r="G9"/>
  <c r="G8"/>
  <c r="G7"/>
  <c r="G12"/>
  <c r="E6"/>
  <c r="G5"/>
  <c r="G6"/>
  <c r="C24" i="36"/>
  <c r="E23"/>
  <c r="G22"/>
  <c r="G21"/>
  <c r="G20"/>
  <c r="G19"/>
  <c r="G18"/>
  <c r="G23"/>
  <c r="E17"/>
  <c r="G16"/>
  <c r="G15"/>
  <c r="G14"/>
  <c r="G13"/>
  <c r="G17"/>
  <c r="E12"/>
  <c r="G11"/>
  <c r="G12"/>
  <c r="E10"/>
  <c r="G9"/>
  <c r="G8"/>
  <c r="G7"/>
  <c r="G10"/>
  <c r="E6"/>
  <c r="G5"/>
  <c r="G6"/>
  <c r="G43" i="22"/>
  <c r="G41"/>
  <c r="G39"/>
  <c r="G37"/>
  <c r="G35"/>
  <c r="G33"/>
  <c r="C95" i="35"/>
  <c r="E94"/>
  <c r="G93"/>
  <c r="G92"/>
  <c r="G91"/>
  <c r="G90"/>
  <c r="G89"/>
  <c r="G88"/>
  <c r="G87"/>
  <c r="G86"/>
  <c r="G85"/>
  <c r="G94"/>
  <c r="E84"/>
  <c r="G83"/>
  <c r="G82"/>
  <c r="G81"/>
  <c r="G80"/>
  <c r="G79"/>
  <c r="G84"/>
  <c r="E78"/>
  <c r="G77"/>
  <c r="G76"/>
  <c r="G75"/>
  <c r="G74"/>
  <c r="G73"/>
  <c r="G78"/>
  <c r="E72"/>
  <c r="G71"/>
  <c r="G70"/>
  <c r="G69"/>
  <c r="G68"/>
  <c r="G67"/>
  <c r="G66"/>
  <c r="E65"/>
  <c r="G64"/>
  <c r="G63"/>
  <c r="G62"/>
  <c r="G61"/>
  <c r="G60"/>
  <c r="G59"/>
  <c r="G58"/>
  <c r="G57"/>
  <c r="G56"/>
  <c r="G55"/>
  <c r="E54"/>
  <c r="G53"/>
  <c r="G52"/>
  <c r="G51"/>
  <c r="G50"/>
  <c r="G49"/>
  <c r="G48"/>
  <c r="G47"/>
  <c r="E46"/>
  <c r="G45"/>
  <c r="G44"/>
  <c r="G43"/>
  <c r="G42"/>
  <c r="G41"/>
  <c r="G40"/>
  <c r="G39"/>
  <c r="G38"/>
  <c r="G37"/>
  <c r="G36"/>
  <c r="E35"/>
  <c r="G34"/>
  <c r="G33"/>
  <c r="G32"/>
  <c r="G31"/>
  <c r="G30"/>
  <c r="E29"/>
  <c r="G28"/>
  <c r="G27"/>
  <c r="G26"/>
  <c r="G25"/>
  <c r="E24"/>
  <c r="G23"/>
  <c r="G22"/>
  <c r="G21"/>
  <c r="G20"/>
  <c r="G19"/>
  <c r="E18"/>
  <c r="G17"/>
  <c r="G16"/>
  <c r="E15"/>
  <c r="G14"/>
  <c r="G13"/>
  <c r="G12"/>
  <c r="E11"/>
  <c r="G10"/>
  <c r="G9"/>
  <c r="E8"/>
  <c r="G7"/>
  <c r="G6"/>
  <c r="G5"/>
  <c r="G4"/>
  <c r="G7" i="10"/>
  <c r="G8"/>
  <c r="G10"/>
  <c r="G11"/>
  <c r="G12"/>
  <c r="G13"/>
  <c r="G15"/>
  <c r="G16"/>
  <c r="G17"/>
  <c r="G18"/>
  <c r="G19"/>
  <c r="G21"/>
  <c r="G22"/>
  <c r="G23"/>
  <c r="G24"/>
  <c r="G25"/>
  <c r="G26"/>
  <c r="G28"/>
  <c r="G29"/>
  <c r="G30"/>
  <c r="G31"/>
  <c r="G33"/>
  <c r="G34"/>
  <c r="G5"/>
  <c r="G4"/>
  <c r="C60" i="5"/>
  <c r="C57"/>
  <c r="C52"/>
  <c r="C46"/>
  <c r="C41"/>
  <c r="C36"/>
  <c r="C33"/>
  <c r="C30"/>
  <c r="C27"/>
  <c r="C23"/>
  <c r="C19"/>
  <c r="C10"/>
  <c r="C61"/>
  <c r="F62"/>
  <c r="C82" i="4"/>
  <c r="C79"/>
  <c r="C72"/>
  <c r="C67"/>
  <c r="C58"/>
  <c r="C53"/>
  <c r="C48"/>
  <c r="C42"/>
  <c r="C37"/>
  <c r="C34"/>
  <c r="C31"/>
  <c r="C28"/>
  <c r="C24"/>
  <c r="C20"/>
  <c r="C10"/>
  <c r="C84"/>
  <c r="F85"/>
  <c r="C61" i="6"/>
  <c r="C57"/>
  <c r="C51"/>
  <c r="C46"/>
  <c r="C42"/>
  <c r="C36"/>
  <c r="C31"/>
  <c r="C28"/>
  <c r="C24"/>
  <c r="C20"/>
  <c r="C10"/>
  <c r="C62"/>
  <c r="F63"/>
  <c r="C45" i="22"/>
  <c r="E61" i="20"/>
  <c r="E50"/>
  <c r="E45"/>
  <c r="E42"/>
  <c r="E36"/>
  <c r="E29"/>
  <c r="E23"/>
  <c r="E17"/>
  <c r="E12"/>
  <c r="E8"/>
  <c r="C44" i="12"/>
  <c r="C39"/>
  <c r="C34"/>
  <c r="C29"/>
  <c r="C23"/>
  <c r="C19"/>
  <c r="C9"/>
  <c r="C46"/>
  <c r="F47"/>
  <c r="E48" i="28"/>
  <c r="G48"/>
  <c r="E47"/>
  <c r="G47"/>
  <c r="C47"/>
  <c r="G49"/>
  <c r="E45"/>
  <c r="G45"/>
  <c r="E44"/>
  <c r="G44"/>
  <c r="E43"/>
  <c r="G43"/>
  <c r="E42"/>
  <c r="G42"/>
  <c r="C42"/>
  <c r="G46"/>
  <c r="E40"/>
  <c r="G40"/>
  <c r="E39"/>
  <c r="G39"/>
  <c r="C39"/>
  <c r="G41"/>
  <c r="E37"/>
  <c r="G37"/>
  <c r="E36"/>
  <c r="G36"/>
  <c r="E35"/>
  <c r="G35"/>
  <c r="E34"/>
  <c r="G34"/>
  <c r="E33"/>
  <c r="G33"/>
  <c r="E32"/>
  <c r="G32"/>
  <c r="E31"/>
  <c r="G31"/>
  <c r="E30"/>
  <c r="G30"/>
  <c r="E29"/>
  <c r="G29"/>
  <c r="E28"/>
  <c r="G28"/>
  <c r="E27"/>
  <c r="G27"/>
  <c r="E38"/>
  <c r="C27"/>
  <c r="G38"/>
  <c r="E25"/>
  <c r="G25"/>
  <c r="E24"/>
  <c r="G24"/>
  <c r="E23"/>
  <c r="G23"/>
  <c r="E22"/>
  <c r="G22"/>
  <c r="E21"/>
  <c r="G21"/>
  <c r="E20"/>
  <c r="G20"/>
  <c r="G19"/>
  <c r="C19"/>
  <c r="E17"/>
  <c r="G17"/>
  <c r="E16"/>
  <c r="G16"/>
  <c r="E15"/>
  <c r="G15"/>
  <c r="C15"/>
  <c r="E13"/>
  <c r="G13"/>
  <c r="E12"/>
  <c r="G12"/>
  <c r="E11"/>
  <c r="G11"/>
  <c r="C11"/>
  <c r="G14"/>
  <c r="G50"/>
  <c r="G51"/>
  <c r="E9"/>
  <c r="G9"/>
  <c r="E8"/>
  <c r="G8"/>
  <c r="C8"/>
  <c r="G10"/>
  <c r="E6"/>
  <c r="G6"/>
  <c r="E5"/>
  <c r="G5"/>
  <c r="E4"/>
  <c r="G4"/>
  <c r="E3"/>
  <c r="E7"/>
  <c r="C3"/>
  <c r="C44" i="27"/>
  <c r="E43"/>
  <c r="G42"/>
  <c r="G41"/>
  <c r="G40"/>
  <c r="G39"/>
  <c r="G43"/>
  <c r="E38"/>
  <c r="G37"/>
  <c r="G36"/>
  <c r="G35"/>
  <c r="G38"/>
  <c r="E34"/>
  <c r="G33"/>
  <c r="G32"/>
  <c r="G30"/>
  <c r="G29"/>
  <c r="G34"/>
  <c r="E28"/>
  <c r="G27"/>
  <c r="G26"/>
  <c r="G25"/>
  <c r="G28"/>
  <c r="E24"/>
  <c r="G23"/>
  <c r="G20"/>
  <c r="G19"/>
  <c r="G18"/>
  <c r="G24"/>
  <c r="E17"/>
  <c r="G16"/>
  <c r="G15"/>
  <c r="G17"/>
  <c r="E14"/>
  <c r="G11"/>
  <c r="G10"/>
  <c r="G9"/>
  <c r="G8"/>
  <c r="G14"/>
  <c r="E7"/>
  <c r="G6"/>
  <c r="G5"/>
  <c r="G7"/>
  <c r="G44"/>
  <c r="G45"/>
  <c r="E55" i="26"/>
  <c r="G55"/>
  <c r="E54"/>
  <c r="G54"/>
  <c r="E53"/>
  <c r="G53"/>
  <c r="E52"/>
  <c r="G52"/>
  <c r="E51"/>
  <c r="G51"/>
  <c r="E50"/>
  <c r="G50"/>
  <c r="E56"/>
  <c r="C50"/>
  <c r="G56"/>
  <c r="E48"/>
  <c r="G48"/>
  <c r="E47"/>
  <c r="G47"/>
  <c r="E46"/>
  <c r="G46"/>
  <c r="E45"/>
  <c r="E49"/>
  <c r="C45"/>
  <c r="E43"/>
  <c r="G43"/>
  <c r="E42"/>
  <c r="G42"/>
  <c r="C42"/>
  <c r="G44"/>
  <c r="E40"/>
  <c r="G40"/>
  <c r="E39"/>
  <c r="G39"/>
  <c r="E38"/>
  <c r="G38"/>
  <c r="E37"/>
  <c r="G37"/>
  <c r="E36"/>
  <c r="G36"/>
  <c r="E35"/>
  <c r="G35"/>
  <c r="E34"/>
  <c r="G34"/>
  <c r="E33"/>
  <c r="G33"/>
  <c r="E32"/>
  <c r="G32"/>
  <c r="E31"/>
  <c r="G31"/>
  <c r="E30"/>
  <c r="G30"/>
  <c r="E29"/>
  <c r="G29"/>
  <c r="E28"/>
  <c r="G28"/>
  <c r="C28"/>
  <c r="G41"/>
  <c r="E26"/>
  <c r="G26"/>
  <c r="E25"/>
  <c r="G25"/>
  <c r="E24"/>
  <c r="G24"/>
  <c r="E23"/>
  <c r="G23"/>
  <c r="E22"/>
  <c r="G22"/>
  <c r="E21"/>
  <c r="G21"/>
  <c r="E20"/>
  <c r="G20"/>
  <c r="E27"/>
  <c r="C20"/>
  <c r="G27"/>
  <c r="E18"/>
  <c r="G18"/>
  <c r="E17"/>
  <c r="G17"/>
  <c r="E16"/>
  <c r="E19"/>
  <c r="C16"/>
  <c r="G19"/>
  <c r="E14"/>
  <c r="G14"/>
  <c r="E13"/>
  <c r="G13"/>
  <c r="E12"/>
  <c r="G12"/>
  <c r="E15"/>
  <c r="C12"/>
  <c r="G15"/>
  <c r="E10"/>
  <c r="G10"/>
  <c r="E9"/>
  <c r="G9"/>
  <c r="E8"/>
  <c r="G8"/>
  <c r="C8"/>
  <c r="G11"/>
  <c r="G57"/>
  <c r="G58"/>
  <c r="E6"/>
  <c r="G6"/>
  <c r="E5"/>
  <c r="G5"/>
  <c r="E4"/>
  <c r="G4"/>
  <c r="E3"/>
  <c r="G3"/>
  <c r="C3"/>
  <c r="G7"/>
  <c r="C34" i="10"/>
  <c r="C32"/>
  <c r="C27"/>
  <c r="C20"/>
  <c r="C14"/>
  <c r="C9"/>
  <c r="C6"/>
  <c r="E6"/>
  <c r="G5" i="9"/>
  <c r="G6"/>
  <c r="G7"/>
  <c r="G8"/>
  <c r="G9"/>
  <c r="G13"/>
  <c r="G10"/>
  <c r="G11"/>
  <c r="G12"/>
  <c r="G14"/>
  <c r="G15"/>
  <c r="G16"/>
  <c r="G17"/>
  <c r="G18"/>
  <c r="G19"/>
  <c r="G20"/>
  <c r="G21"/>
  <c r="G22"/>
  <c r="G23"/>
  <c r="G24"/>
  <c r="G25"/>
  <c r="G26"/>
  <c r="G27"/>
  <c r="G29"/>
  <c r="G28"/>
  <c r="G30"/>
  <c r="G31"/>
  <c r="G32"/>
  <c r="G34"/>
  <c r="G33"/>
  <c r="G35"/>
  <c r="G36"/>
  <c r="G37"/>
  <c r="G38"/>
  <c r="G39"/>
  <c r="G40"/>
  <c r="G41"/>
  <c r="G42"/>
  <c r="G43"/>
  <c r="G44"/>
  <c r="G45"/>
  <c r="G46"/>
  <c r="G50"/>
  <c r="G47"/>
  <c r="G48"/>
  <c r="G49"/>
  <c r="G51"/>
  <c r="G52"/>
  <c r="G53"/>
  <c r="C54"/>
  <c r="E50"/>
  <c r="E43"/>
  <c r="E39"/>
  <c r="E34"/>
  <c r="E29"/>
  <c r="E24"/>
  <c r="E20"/>
  <c r="E7"/>
  <c r="E13"/>
  <c r="G6" i="25"/>
  <c r="G7"/>
  <c r="G9"/>
  <c r="G10"/>
  <c r="G11"/>
  <c r="G13"/>
  <c r="G14"/>
  <c r="G15"/>
  <c r="G16"/>
  <c r="G18"/>
  <c r="G19"/>
  <c r="G20"/>
  <c r="G21"/>
  <c r="G22"/>
  <c r="G24"/>
  <c r="G25"/>
  <c r="G26"/>
  <c r="G27"/>
  <c r="G29"/>
  <c r="G30"/>
  <c r="G31"/>
  <c r="G33"/>
  <c r="G34"/>
  <c r="G35"/>
  <c r="G37"/>
  <c r="G38"/>
  <c r="G39"/>
  <c r="G40"/>
  <c r="G41"/>
  <c r="G42"/>
  <c r="G44"/>
  <c r="G45"/>
  <c r="G46"/>
  <c r="G47"/>
  <c r="G48"/>
  <c r="G49"/>
  <c r="G50"/>
  <c r="G5"/>
  <c r="G8"/>
  <c r="E51"/>
  <c r="E46"/>
  <c r="E43"/>
  <c r="E40"/>
  <c r="E38"/>
  <c r="E36"/>
  <c r="E32"/>
  <c r="E28"/>
  <c r="E23"/>
  <c r="E17"/>
  <c r="E12"/>
  <c r="E8"/>
  <c r="C52"/>
  <c r="G6" i="20"/>
  <c r="G7"/>
  <c r="G9"/>
  <c r="G10"/>
  <c r="G11"/>
  <c r="G12"/>
  <c r="G13"/>
  <c r="G14"/>
  <c r="G15"/>
  <c r="G16"/>
  <c r="G17"/>
  <c r="G18"/>
  <c r="G19"/>
  <c r="G23"/>
  <c r="G20"/>
  <c r="G21"/>
  <c r="G22"/>
  <c r="G24"/>
  <c r="G25"/>
  <c r="G29"/>
  <c r="G26"/>
  <c r="G27"/>
  <c r="G28"/>
  <c r="G30"/>
  <c r="G31"/>
  <c r="G36"/>
  <c r="G32"/>
  <c r="G33"/>
  <c r="G34"/>
  <c r="G35"/>
  <c r="G37"/>
  <c r="G38"/>
  <c r="G39"/>
  <c r="G42"/>
  <c r="G40"/>
  <c r="G41"/>
  <c r="G43"/>
  <c r="G44"/>
  <c r="G45"/>
  <c r="G46"/>
  <c r="G47"/>
  <c r="G50"/>
  <c r="G48"/>
  <c r="G49"/>
  <c r="G51"/>
  <c r="G52"/>
  <c r="G61"/>
  <c r="G53"/>
  <c r="G54"/>
  <c r="G55"/>
  <c r="G56"/>
  <c r="G57"/>
  <c r="G58"/>
  <c r="G59"/>
  <c r="G60"/>
  <c r="G5"/>
  <c r="G8"/>
  <c r="C62"/>
  <c r="E14"/>
  <c r="C26" i="23"/>
  <c r="C16"/>
  <c r="C12"/>
  <c r="C28"/>
  <c r="F29"/>
  <c r="G23" i="22"/>
  <c r="G24"/>
  <c r="G25"/>
  <c r="G26"/>
  <c r="G27"/>
  <c r="G28"/>
  <c r="G29"/>
  <c r="G34"/>
  <c r="G36"/>
  <c r="G38"/>
  <c r="G40"/>
  <c r="G42"/>
  <c r="G44"/>
  <c r="E44"/>
  <c r="E42"/>
  <c r="E40"/>
  <c r="E38"/>
  <c r="E36"/>
  <c r="E34"/>
  <c r="E32"/>
  <c r="E6"/>
  <c r="E8"/>
  <c r="E13"/>
  <c r="E30"/>
  <c r="G15"/>
  <c r="G16"/>
  <c r="G17"/>
  <c r="G10"/>
  <c r="G11"/>
  <c r="G12"/>
  <c r="G31"/>
  <c r="G32"/>
  <c r="G22"/>
  <c r="G30"/>
  <c r="E21"/>
  <c r="G20"/>
  <c r="G19"/>
  <c r="G18"/>
  <c r="G14"/>
  <c r="G21"/>
  <c r="G9"/>
  <c r="G13"/>
  <c r="G7"/>
  <c r="G8"/>
  <c r="G5"/>
  <c r="G6"/>
  <c r="G45"/>
  <c r="G46"/>
  <c r="K10" i="17"/>
  <c r="K11"/>
  <c r="K12"/>
  <c r="K13"/>
  <c r="K14"/>
  <c r="K15"/>
  <c r="K16"/>
  <c r="K17"/>
  <c r="K18"/>
  <c r="K20"/>
  <c r="K21"/>
  <c r="K22"/>
  <c r="K23"/>
  <c r="K24"/>
  <c r="K25"/>
  <c r="K26"/>
  <c r="K27"/>
  <c r="K28"/>
  <c r="K29"/>
  <c r="K30"/>
  <c r="K31"/>
  <c r="K32"/>
  <c r="K33"/>
  <c r="K35"/>
  <c r="K36"/>
  <c r="K9"/>
  <c r="E38"/>
  <c r="C37"/>
  <c r="C32"/>
  <c r="C28"/>
  <c r="C19"/>
  <c r="C15"/>
  <c r="C14"/>
  <c r="K38"/>
  <c r="K39"/>
  <c r="C58" i="15"/>
  <c r="E57"/>
  <c r="G56"/>
  <c r="G55"/>
  <c r="G54"/>
  <c r="G57"/>
  <c r="E53"/>
  <c r="G52"/>
  <c r="G51"/>
  <c r="G50"/>
  <c r="G49"/>
  <c r="G48"/>
  <c r="G53"/>
  <c r="E47"/>
  <c r="G46"/>
  <c r="G45"/>
  <c r="G47"/>
  <c r="E44"/>
  <c r="G43"/>
  <c r="G42"/>
  <c r="G41"/>
  <c r="G40"/>
  <c r="G39"/>
  <c r="G38"/>
  <c r="G37"/>
  <c r="G36"/>
  <c r="G44"/>
  <c r="E35"/>
  <c r="G34"/>
  <c r="G33"/>
  <c r="G32"/>
  <c r="G31"/>
  <c r="G30"/>
  <c r="G35"/>
  <c r="E29"/>
  <c r="G28"/>
  <c r="G27"/>
  <c r="G26"/>
  <c r="G25"/>
  <c r="G24"/>
  <c r="G23"/>
  <c r="G22"/>
  <c r="G21"/>
  <c r="G29"/>
  <c r="E20"/>
  <c r="G19"/>
  <c r="G18"/>
  <c r="G17"/>
  <c r="G16"/>
  <c r="G15"/>
  <c r="G20"/>
  <c r="E14"/>
  <c r="G13"/>
  <c r="G12"/>
  <c r="G11"/>
  <c r="G10"/>
  <c r="G9"/>
  <c r="G8"/>
  <c r="G14"/>
  <c r="E7"/>
  <c r="G6"/>
  <c r="G5"/>
  <c r="G7"/>
  <c r="G58"/>
  <c r="G59"/>
  <c r="C22" i="14"/>
  <c r="E21"/>
  <c r="G20"/>
  <c r="G19"/>
  <c r="G21"/>
  <c r="E18"/>
  <c r="G17"/>
  <c r="G16"/>
  <c r="G15"/>
  <c r="G14"/>
  <c r="G13"/>
  <c r="G18"/>
  <c r="E12"/>
  <c r="G11"/>
  <c r="G10"/>
  <c r="G12"/>
  <c r="E9"/>
  <c r="G8"/>
  <c r="G7"/>
  <c r="G6"/>
  <c r="G5"/>
  <c r="G9"/>
  <c r="C50" i="13"/>
  <c r="E49"/>
  <c r="G48"/>
  <c r="G47"/>
  <c r="G46"/>
  <c r="G45"/>
  <c r="G44"/>
  <c r="G43"/>
  <c r="G49"/>
  <c r="E42"/>
  <c r="G41"/>
  <c r="G40"/>
  <c r="G39"/>
  <c r="G42"/>
  <c r="E38"/>
  <c r="G37"/>
  <c r="G36"/>
  <c r="G35"/>
  <c r="G38"/>
  <c r="E34"/>
  <c r="G33"/>
  <c r="G32"/>
  <c r="G31"/>
  <c r="G30"/>
  <c r="G29"/>
  <c r="G28"/>
  <c r="G34"/>
  <c r="E27"/>
  <c r="G26"/>
  <c r="G25"/>
  <c r="G24"/>
  <c r="G23"/>
  <c r="G22"/>
  <c r="G21"/>
  <c r="G20"/>
  <c r="G27"/>
  <c r="E19"/>
  <c r="G18"/>
  <c r="G17"/>
  <c r="G16"/>
  <c r="G15"/>
  <c r="G14"/>
  <c r="G13"/>
  <c r="G12"/>
  <c r="G11"/>
  <c r="G19"/>
  <c r="E10"/>
  <c r="G9"/>
  <c r="G8"/>
  <c r="G7"/>
  <c r="G10"/>
  <c r="G50"/>
  <c r="G51"/>
  <c r="G66" i="2"/>
  <c r="G67"/>
  <c r="G68"/>
  <c r="G69"/>
  <c r="G47"/>
  <c r="E56"/>
  <c r="E72"/>
  <c r="G12" i="1"/>
  <c r="G18"/>
  <c r="G19"/>
  <c r="G20"/>
  <c r="G21"/>
  <c r="G44"/>
  <c r="G13" i="2"/>
  <c r="G14"/>
  <c r="G15"/>
  <c r="G16"/>
  <c r="E7"/>
  <c r="G9"/>
  <c r="G11"/>
  <c r="E11"/>
  <c r="E17"/>
  <c r="G18"/>
  <c r="E23"/>
  <c r="G50" i="3"/>
  <c r="G38"/>
  <c r="G32"/>
  <c r="G26"/>
  <c r="G27"/>
  <c r="G28"/>
  <c r="G29"/>
  <c r="G30"/>
  <c r="G21"/>
  <c r="G28" i="1"/>
  <c r="E34" i="10"/>
  <c r="E32"/>
  <c r="E27"/>
  <c r="E20"/>
  <c r="E14"/>
  <c r="E9"/>
  <c r="E23" i="7"/>
  <c r="G14"/>
  <c r="G16"/>
  <c r="G18"/>
  <c r="G20"/>
  <c r="G22"/>
  <c r="G13"/>
  <c r="G11"/>
  <c r="E12"/>
  <c r="G5"/>
  <c r="G7"/>
  <c r="G8"/>
  <c r="G9"/>
  <c r="G10"/>
  <c r="C24"/>
  <c r="G15"/>
  <c r="G17"/>
  <c r="G23"/>
  <c r="G24"/>
  <c r="G25"/>
  <c r="G19"/>
  <c r="G21"/>
  <c r="G6"/>
  <c r="G39" i="1"/>
  <c r="G71" i="2"/>
  <c r="G70"/>
  <c r="G65"/>
  <c r="G64"/>
  <c r="G72"/>
  <c r="E63"/>
  <c r="G62"/>
  <c r="G61"/>
  <c r="G60"/>
  <c r="G59"/>
  <c r="G58"/>
  <c r="G57"/>
  <c r="G53"/>
  <c r="G51"/>
  <c r="G50"/>
  <c r="E49"/>
  <c r="G48"/>
  <c r="G46"/>
  <c r="G45"/>
  <c r="G44"/>
  <c r="G43"/>
  <c r="E42"/>
  <c r="G41"/>
  <c r="G40"/>
  <c r="G39"/>
  <c r="G38"/>
  <c r="G37"/>
  <c r="G36"/>
  <c r="G35"/>
  <c r="G34"/>
  <c r="G33"/>
  <c r="G32"/>
  <c r="G42"/>
  <c r="E31"/>
  <c r="G30"/>
  <c r="G29"/>
  <c r="G28"/>
  <c r="G27"/>
  <c r="G26"/>
  <c r="G25"/>
  <c r="G24"/>
  <c r="G31"/>
  <c r="G22"/>
  <c r="G21"/>
  <c r="G20"/>
  <c r="G19"/>
  <c r="G23"/>
  <c r="G73"/>
  <c r="G74"/>
  <c r="G12"/>
  <c r="G17"/>
  <c r="G6"/>
  <c r="G5"/>
  <c r="E86" i="3"/>
  <c r="C103"/>
  <c r="E102"/>
  <c r="E92"/>
  <c r="E80"/>
  <c r="E72"/>
  <c r="E61"/>
  <c r="E53"/>
  <c r="E48"/>
  <c r="E37"/>
  <c r="E31"/>
  <c r="E25"/>
  <c r="E16"/>
  <c r="E11"/>
  <c r="E8"/>
  <c r="G45"/>
  <c r="G46"/>
  <c r="G47"/>
  <c r="G44"/>
  <c r="G52"/>
  <c r="G49"/>
  <c r="E75" i="1"/>
  <c r="G74"/>
  <c r="G73"/>
  <c r="G72"/>
  <c r="G71"/>
  <c r="G70"/>
  <c r="G69"/>
  <c r="G68"/>
  <c r="G79" i="3"/>
  <c r="G85"/>
  <c r="G51"/>
  <c r="G12"/>
  <c r="G13"/>
  <c r="G14"/>
  <c r="G15"/>
  <c r="G10"/>
  <c r="G5"/>
  <c r="G6"/>
  <c r="G7"/>
  <c r="G4"/>
  <c r="G43"/>
  <c r="G42"/>
  <c r="G41"/>
  <c r="G40"/>
  <c r="G39"/>
  <c r="G48"/>
  <c r="G101"/>
  <c r="G100"/>
  <c r="G99"/>
  <c r="G98"/>
  <c r="G97"/>
  <c r="G96"/>
  <c r="G95"/>
  <c r="G94"/>
  <c r="G93"/>
  <c r="G102"/>
  <c r="G91"/>
  <c r="G90"/>
  <c r="G89"/>
  <c r="G88"/>
  <c r="G87"/>
  <c r="G92"/>
  <c r="G84"/>
  <c r="G83"/>
  <c r="G82"/>
  <c r="G81"/>
  <c r="G78"/>
  <c r="G77"/>
  <c r="G76"/>
  <c r="G75"/>
  <c r="G74"/>
  <c r="G73"/>
  <c r="G71"/>
  <c r="G70"/>
  <c r="G69"/>
  <c r="G68"/>
  <c r="G67"/>
  <c r="G66"/>
  <c r="G65"/>
  <c r="G64"/>
  <c r="G63"/>
  <c r="G62"/>
  <c r="G60"/>
  <c r="G59"/>
  <c r="G58"/>
  <c r="G57"/>
  <c r="G56"/>
  <c r="G55"/>
  <c r="G54"/>
  <c r="G61"/>
  <c r="G36"/>
  <c r="G35"/>
  <c r="G34"/>
  <c r="G33"/>
  <c r="G24"/>
  <c r="G23"/>
  <c r="G22"/>
  <c r="G20"/>
  <c r="E19"/>
  <c r="G18"/>
  <c r="G17"/>
  <c r="G19"/>
  <c r="G9"/>
  <c r="G11"/>
  <c r="C106" i="1"/>
  <c r="G99"/>
  <c r="G101"/>
  <c r="G103"/>
  <c r="G88"/>
  <c r="G76"/>
  <c r="G49"/>
  <c r="E22"/>
  <c r="G8"/>
  <c r="G9"/>
  <c r="G10"/>
  <c r="G11"/>
  <c r="G13"/>
  <c r="G14"/>
  <c r="G15"/>
  <c r="G17"/>
  <c r="G22"/>
  <c r="G23"/>
  <c r="G24"/>
  <c r="G29"/>
  <c r="G25"/>
  <c r="G26"/>
  <c r="G27"/>
  <c r="G30"/>
  <c r="G31"/>
  <c r="G32"/>
  <c r="G37"/>
  <c r="G33"/>
  <c r="G34"/>
  <c r="G35"/>
  <c r="G36"/>
  <c r="G38"/>
  <c r="G40"/>
  <c r="G41"/>
  <c r="G42"/>
  <c r="G48"/>
  <c r="G43"/>
  <c r="G45"/>
  <c r="G46"/>
  <c r="G47"/>
  <c r="G50"/>
  <c r="G51"/>
  <c r="G56"/>
  <c r="G52"/>
  <c r="G53"/>
  <c r="G54"/>
  <c r="G55"/>
  <c r="G57"/>
  <c r="G58"/>
  <c r="G60"/>
  <c r="G61"/>
  <c r="G62"/>
  <c r="G63"/>
  <c r="G64"/>
  <c r="G65"/>
  <c r="G66"/>
  <c r="G77"/>
  <c r="G78"/>
  <c r="G81"/>
  <c r="G79"/>
  <c r="G80"/>
  <c r="G82"/>
  <c r="G83"/>
  <c r="G87"/>
  <c r="G84"/>
  <c r="G85"/>
  <c r="G86"/>
  <c r="G89"/>
  <c r="G90"/>
  <c r="G91"/>
  <c r="G97"/>
  <c r="G92"/>
  <c r="G93"/>
  <c r="G94"/>
  <c r="G95"/>
  <c r="G96"/>
  <c r="G98"/>
  <c r="G100"/>
  <c r="G102"/>
  <c r="G104"/>
  <c r="G105"/>
  <c r="G6"/>
  <c r="G5"/>
  <c r="G7"/>
  <c r="E97"/>
  <c r="E16"/>
  <c r="E87"/>
  <c r="E81"/>
  <c r="E56"/>
  <c r="E48"/>
  <c r="E37"/>
  <c r="E29"/>
  <c r="E10"/>
  <c r="E7"/>
  <c r="E105"/>
  <c r="E67"/>
  <c r="G59"/>
  <c r="G4" i="7"/>
  <c r="G12"/>
  <c r="G53" i="3"/>
  <c r="G31"/>
  <c r="G37"/>
  <c r="G8"/>
  <c r="G16" i="1"/>
  <c r="G67"/>
  <c r="G75"/>
  <c r="G36" i="25"/>
  <c r="G23"/>
  <c r="G17"/>
  <c r="G51"/>
  <c r="G43"/>
  <c r="G32"/>
  <c r="G28"/>
  <c r="G12"/>
  <c r="G52"/>
  <c r="G53"/>
  <c r="E7" i="26"/>
  <c r="G16"/>
  <c r="E44"/>
  <c r="G45"/>
  <c r="G49"/>
  <c r="G3" i="28"/>
  <c r="G7"/>
  <c r="E18"/>
  <c r="E26"/>
  <c r="E41"/>
  <c r="E49"/>
  <c r="G18"/>
  <c r="E46"/>
  <c r="E10"/>
  <c r="E14"/>
  <c r="E11" i="26"/>
  <c r="E41"/>
  <c r="G25" i="3"/>
  <c r="G72"/>
  <c r="G80"/>
  <c r="G86"/>
  <c r="G16"/>
  <c r="G103"/>
  <c r="G104"/>
  <c r="G9" i="10"/>
  <c r="G20"/>
  <c r="G14"/>
  <c r="G6"/>
  <c r="G32"/>
  <c r="G27"/>
  <c r="C35"/>
  <c r="G35"/>
  <c r="G36"/>
  <c r="G72" i="35"/>
  <c r="G24"/>
  <c r="G46"/>
  <c r="G8"/>
  <c r="G18"/>
  <c r="G15"/>
  <c r="G11"/>
  <c r="G95"/>
  <c r="G96"/>
  <c r="G29"/>
  <c r="G35"/>
  <c r="G54"/>
  <c r="G65"/>
  <c r="G49" i="2"/>
  <c r="G7"/>
  <c r="G56"/>
  <c r="G63"/>
  <c r="G12" i="39"/>
  <c r="G13"/>
  <c r="H5" i="18"/>
  <c r="H14"/>
  <c r="H15"/>
  <c r="H18"/>
  <c r="H19"/>
  <c r="H22"/>
  <c r="H23"/>
  <c r="H30"/>
  <c r="H36"/>
  <c r="H38"/>
  <c r="H39"/>
  <c r="H43"/>
  <c r="H44"/>
  <c r="H49"/>
  <c r="H50"/>
  <c r="H54"/>
  <c r="G20" i="19"/>
  <c r="C74"/>
  <c r="E20"/>
  <c r="E28"/>
  <c r="E32"/>
  <c r="E46"/>
  <c r="E49"/>
  <c r="E70"/>
  <c r="G71"/>
  <c r="G74"/>
  <c r="G5" i="54"/>
  <c r="G16"/>
  <c r="G29"/>
  <c r="G38"/>
  <c r="G39"/>
  <c r="G40"/>
  <c r="H29" i="31"/>
  <c r="G50" i="64"/>
  <c r="G51"/>
  <c r="G47" i="29"/>
  <c r="G48"/>
  <c r="H4" i="59"/>
  <c r="H9"/>
  <c r="H21"/>
  <c r="H24"/>
  <c r="H10"/>
  <c r="H20"/>
  <c r="H25"/>
  <c r="H32"/>
  <c r="G16" i="60"/>
  <c r="G28"/>
  <c r="G9"/>
  <c r="G12"/>
  <c r="E16"/>
  <c r="H4" i="58"/>
  <c r="H9"/>
  <c r="H21"/>
  <c r="H24"/>
  <c r="H10"/>
  <c r="H20"/>
  <c r="H4" i="57"/>
  <c r="H9"/>
  <c r="H21"/>
  <c r="H24"/>
  <c r="H10"/>
  <c r="H20"/>
  <c r="H33"/>
  <c r="H34"/>
  <c r="G24" i="36"/>
  <c r="G25"/>
  <c r="H33" i="58"/>
  <c r="H34"/>
  <c r="H33" i="59"/>
  <c r="H34"/>
  <c r="G22" i="14"/>
  <c r="G23"/>
  <c r="G26" i="28"/>
  <c r="F50" i="55"/>
  <c r="H44"/>
  <c r="H50"/>
  <c r="G50" i="19"/>
  <c r="E54"/>
  <c r="G24" i="37"/>
  <c r="G25"/>
  <c r="H59" i="49"/>
  <c r="H63"/>
  <c r="F14" i="55"/>
  <c r="F25"/>
  <c r="F55"/>
  <c r="F32" i="50"/>
  <c r="H37" i="71"/>
  <c r="H44"/>
  <c r="E16" i="53"/>
  <c r="G30"/>
  <c r="G16" i="72"/>
  <c r="G27"/>
  <c r="G28"/>
  <c r="G29"/>
  <c r="H68" i="52"/>
  <c r="F36" i="55"/>
  <c r="H26"/>
  <c r="H36"/>
  <c r="H31" i="18"/>
  <c r="H35"/>
  <c r="H55"/>
  <c r="H56"/>
  <c r="F35"/>
  <c r="G5" i="19"/>
  <c r="G15"/>
  <c r="G75"/>
  <c r="G76"/>
  <c r="E15"/>
  <c r="G33"/>
  <c r="G36"/>
  <c r="E36"/>
  <c r="F20" i="50"/>
  <c r="H10"/>
  <c r="H20"/>
  <c r="H56"/>
  <c r="H57"/>
  <c r="F18" i="55"/>
  <c r="F43"/>
  <c r="G54" i="19"/>
  <c r="C22" i="66"/>
  <c r="E27" i="72"/>
  <c r="H10" i="52"/>
  <c r="H35"/>
  <c r="H40"/>
  <c r="H44"/>
  <c r="H63"/>
  <c r="H69"/>
  <c r="H17" i="51"/>
  <c r="E28" i="60"/>
  <c r="E42"/>
  <c r="E50"/>
  <c r="H14" i="52"/>
  <c r="H20"/>
  <c r="H27"/>
  <c r="H45"/>
  <c r="H52"/>
  <c r="H59"/>
  <c r="H72"/>
  <c r="H10" i="51"/>
  <c r="H71" i="52"/>
  <c r="G106" i="1"/>
  <c r="G107"/>
  <c r="G62" i="20"/>
  <c r="G63"/>
  <c r="G54" i="9"/>
  <c r="G55"/>
  <c r="H5" i="52"/>
  <c r="H9"/>
  <c r="H75"/>
  <c r="H76"/>
  <c r="H5" i="51"/>
  <c r="H9"/>
  <c r="H24"/>
  <c r="H30"/>
  <c r="H25"/>
  <c r="H26"/>
  <c r="H27"/>
  <c r="H28"/>
  <c r="H29"/>
  <c r="F30"/>
  <c r="H34"/>
  <c r="H39"/>
  <c r="H35"/>
  <c r="H40"/>
  <c r="H41"/>
</calcChain>
</file>

<file path=xl/sharedStrings.xml><?xml version="1.0" encoding="utf-8"?>
<sst xmlns="http://schemas.openxmlformats.org/spreadsheetml/2006/main" count="5699" uniqueCount="2506">
  <si>
    <t>Залучення до роботи з дітьми співробітників:
- Державтоінспекції;
- МНС;
- фахівців інших служб;
- наявність спільних заходів.</t>
  </si>
  <si>
    <t>Рівень організації превентивної роботи з профілактики шкідливих звичок, запобігання наркоманії, алкоголізму, тютюнопаління, профілактики ВІЛ-інфекції (СНІДу).</t>
  </si>
  <si>
    <t>Стан організації роботи з безпеки життєдіяльності та запобігання всім видам дитячого травматизму через учнівське самоврядування, шкільні гуртки тощо.</t>
  </si>
  <si>
    <t>ХІІ.</t>
  </si>
  <si>
    <t>Класні журнали.</t>
  </si>
  <si>
    <t>Наявність листків здоров’я, їх нормативність.</t>
  </si>
  <si>
    <t>Ведення сторінок предмета «Основи здоров’я» відповідно до вимог, об’єктивність оцінювання.</t>
  </si>
  <si>
    <t>Наявність тематики бесід з питань запобігання всім видам дитячого травматизму.</t>
  </si>
  <si>
    <t>Своєчасність проведення індивідуальних бесід з учнями, які були відсутні у школі.</t>
  </si>
  <si>
    <t>XIІІ.</t>
  </si>
  <si>
    <t>Наявність програм з предмета «Основ здоров’я».</t>
  </si>
  <si>
    <t>Укомплектованість закладу педагогічними кадрами з цього предмета (учителі працюють за фахом, чи ні).</t>
  </si>
  <si>
    <t>Стан організації підвищення рівня фахової майстерності учителів, які викладають «Основи здоров’я» (участь у семінарах, майстер-класах, курсова підготовка).</t>
  </si>
  <si>
    <t>Рівень вивчення і впровадження ППД.</t>
  </si>
  <si>
    <t>Стан внутрішкільного контролю за станом викладання предмета «Основи здоров’я» (графік перевірки стану викладання предмета, ведення зошитів учнями, календарне планування вчителів).</t>
  </si>
  <si>
    <t xml:space="preserve">Аналіз навчальних досягнень учнів з предмета «Основи здоров’я» (виконання навчальних програм, якість знань учнів). </t>
  </si>
  <si>
    <t>XІV.</t>
  </si>
  <si>
    <t>Організація роботи з батьками</t>
  </si>
  <si>
    <t>Внесення до порядку денного засідання батьківських зборів питання про запобігання усім видам дитячого травматизму.</t>
  </si>
  <si>
    <t>Нормативність ведення Книги протоколів батьківських зборів.</t>
  </si>
  <si>
    <t>Загальні висновки, зауваження, пропозиції:</t>
  </si>
  <si>
    <t>Дата проведення експертизи ___.___.2012.</t>
  </si>
  <si>
    <t>Протокол складено (посада ПІБ експерта):_______________________________________</t>
  </si>
  <si>
    <t>З протоколом ознайомлені:</t>
  </si>
  <si>
    <t>(посада ПІБ)_________________________________________________________________</t>
  </si>
  <si>
    <t>вивчення стану управлінської діяльності в позашкільному навчальному закладі з питань охорони життя і здоров’я учнів та запобігання всім видам дитячого травматизму</t>
  </si>
  <si>
    <t>________ № ______</t>
  </si>
  <si>
    <t>Конкретність поставлених перед педагогічним (тренерським) колективом завдань.</t>
  </si>
  <si>
    <t>(0,09)*</t>
  </si>
  <si>
    <t>VІ.</t>
  </si>
  <si>
    <t>VІI.</t>
  </si>
  <si>
    <t>VІIІ.</t>
  </si>
  <si>
    <t>Медичний кабінет.**</t>
  </si>
  <si>
    <t>Нормативність зарахування учнів (за відсутності медичних протипоказань).</t>
  </si>
  <si>
    <t>(0,06)*</t>
  </si>
  <si>
    <t>Наявність та інформаційна наповнюваність куточка або кабінета з профілактики безпеки життєдіяльності та запобігання дитячого травматизму.</t>
  </si>
  <si>
    <t>(0,08)*</t>
  </si>
  <si>
    <t>ДНЗ № ______</t>
  </si>
  <si>
    <t>Річний план роботи навчального закладу.</t>
  </si>
  <si>
    <t>Своєчасність проведення вихователями-методистами інструктажів з вихователями ДНЗ з техніки безпеки при проведенні занять, екскурсій.</t>
  </si>
  <si>
    <t>Стан матеріально-технічної бази ДНЗ щодо запобігання всім видам дитячого травматизму.</t>
  </si>
  <si>
    <t>Планування роботи вихователів з питань експертизи. Наявність перспективних планів роботи.</t>
  </si>
  <si>
    <t>Системність у проведенні занять з дітьми з питань збереження здоров'я та безпечної поведінки.</t>
  </si>
  <si>
    <t>організація зорової роботи учнів</t>
  </si>
  <si>
    <t>ВИВЧЕННЯ СТАНУ УПРАВЛІНСЬКОЇ ДІЯЛЬНОСТІ ЩОДО ОРГАНІЗАЦІЇ НАВЧАЛЬНО-ВИХОВНОГО ПРОЦЕСУ НА ПОЧАТКУ НАВЧАЛЬНОГО РОКУ ТА ОБЛІКУ ДІТЕЙ ШКІЛЬНОГО ВІКУ У ЗАГАЛЬНООСВІТНІХ НАВЧАЛЬНИХ ЗАКЛАДАХ УСІХ ТИПІВ І ФОРМ ВЛАСНОСТІ м. ХАРКОВА</t>
  </si>
  <si>
    <t>Облік руху учнів (формування шкільної мережі)</t>
  </si>
  <si>
    <t>F1=</t>
  </si>
  <si>
    <t>F2=</t>
  </si>
  <si>
    <t>F3=</t>
  </si>
  <si>
    <t>F4=</t>
  </si>
  <si>
    <t>F5=</t>
  </si>
  <si>
    <t>F6=</t>
  </si>
  <si>
    <t>F7=</t>
  </si>
  <si>
    <t>F8=</t>
  </si>
  <si>
    <t>F9=</t>
  </si>
  <si>
    <t>F10=</t>
  </si>
  <si>
    <t>F11=</t>
  </si>
  <si>
    <t>F12=</t>
  </si>
  <si>
    <t>F13=</t>
  </si>
  <si>
    <t>F14=</t>
  </si>
  <si>
    <t>Виконання загальних положень Інструкції</t>
  </si>
  <si>
    <t>1.</t>
  </si>
  <si>
    <t>Статут</t>
  </si>
  <si>
    <t>Робочий навчальний план</t>
  </si>
  <si>
    <t>Річний план роботи закладу</t>
  </si>
  <si>
    <t>Контрольно-аналітична діяльність адміністрації школи</t>
  </si>
  <si>
    <t>Нормативне забезпечення діяльності навчального закладу, ведення іншої ділової документації відповідно до Інструкції</t>
  </si>
  <si>
    <t>Розклад уроків, графіки</t>
  </si>
  <si>
    <t>Дотримання санітарних правил і норм влаштування, утримання загальноосвітнього навчального закладу</t>
  </si>
  <si>
    <t>F15=</t>
  </si>
  <si>
    <t>Книги протоколів засідань педагогічної ради та ради навчального закладу</t>
  </si>
  <si>
    <t>Книги обліку і видачі свідоцтв та додатків до свідоцтв про базову загальну середню освіту; Книги обліку і видачі атестатів та додатків до атестатів про повну загальну середню освіту, Срібних і Золотих медалей; Книги обліку Похвальних листів і Похвальних грамот</t>
  </si>
  <si>
    <t>Видання та реєстрація наказів з основної діяльності</t>
  </si>
  <si>
    <t>Алфавітна книга запису учнів, мережа</t>
  </si>
  <si>
    <t>Річний план роботи</t>
  </si>
  <si>
    <t>Нормативність виконання «Інструкції з обліку дітей і підлітків шкільного віку»</t>
  </si>
  <si>
    <t>2.</t>
  </si>
  <si>
    <t>ПРОТОКОЛ ВИВЧЕННЯ СТАНУ УПРАВЛІНСЬКОЇ ДІЯЛЬНОСТІ УПРАВЛІННЯ ОСВІТИ АДМІНІСТРАЦЙІЇ РАЙОНУ ХАРКІВСЬКОЇ МІСЬКОЇ РАДИ ЩОДО ОРГАНІЗАЦІЇ ВИКОНАННЯ СТ. 35 ЗАКОНУ УКРАЇНИ «ПРО ОСВІТУ», СТ. 6 ЗАКОНУ УКРАЇНИ «ПРО ЗАГАЛЬНУ СЕРЕДНЮ ОСВІТУ» ТА ІНСТРУКЦІЇ З ОБЛІКУ ДІТЕЙ І ПІДЛІТКІВ ШКІЛЬНОГО ВІКУ, ЗАТВЕРДЖЕНОЇ ПОСТАНОВОЮ КАБІНЕТУ МІНІСТРІВ УКРАЇНИ ВІД 12.04.2000 № 646</t>
  </si>
  <si>
    <t>Матеріали атестації навчальних закладів</t>
  </si>
  <si>
    <t>План роботи управління освіти на рік</t>
  </si>
  <si>
    <t>ВИВЧЕННЯ СТАНУ УПРАВЛІНСЬКОЇ ДІЯЛЬНОСТІ УПРАВЛІННЯ ОСВІТИ АДМІНІСТРАЦЙІЇ РАЙОНУ ХАРКІВСЬКОЇ МІСЬКОЇ РАДИ ЩОДО НОРМАТИВНОСТІ ВЕДЕННЯ ДІЛОВОЇ ДОКУМЕНТАЦІЇ</t>
  </si>
  <si>
    <t>Виконання загальних положень Типової інструкції з діловодства</t>
  </si>
  <si>
    <t>Ступінь прояву критеріїв</t>
  </si>
  <si>
    <t>Матеріали державної атестації ДНЗ</t>
  </si>
  <si>
    <t>Своєчасність та системність доведення наказів до відома відповідальних за виконання.</t>
  </si>
  <si>
    <t>Нормативність ведення Книги реєстрації наказів.</t>
  </si>
  <si>
    <t>Систематичність проведення медичних оглядів та моніторинг стану здоров’я учнів.</t>
  </si>
  <si>
    <t>Своєчасність видання наказів «Про організацію роботи щодо запобігання всім видам дитячого травматизму», «Про підсумки роботи закладу щодо запобігання всім видам дитячого травматизму», «Про затвердження складу комісії з розслідування нещасних випадків з дітьми» (якщо такі виявлені), «Про організацію екскурсії з дітьми» (якщо такі є за планом), "Про організацію роботи із загонами ЮІДР", "Про організацію роботи із загонами ДЮП".</t>
  </si>
  <si>
    <t>Стан матеріально-технічної бази ЗНЗ щодо запобігання всім видам дитячого травматизму.</t>
  </si>
  <si>
    <t>наявність звітів опікунів;</t>
  </si>
  <si>
    <t>організація роботи щодо захисту майнових та житлових прав дітей-сиріт та дітей, позбавлених батьківського піклування</t>
  </si>
  <si>
    <t>наявність бази даних дітей;</t>
  </si>
  <si>
    <t>наявність системи оновлення даних дітей;</t>
  </si>
  <si>
    <t>організація інформаційно-консультаційної роботи з сім’ями</t>
  </si>
  <si>
    <t>наявність плану роботи практичного психолога закладу освіти;</t>
  </si>
  <si>
    <t>організація індивідуальної корекційної роботи з учнями (аналіз, індивідуальний підхід до підлітка та сім’ї);</t>
  </si>
  <si>
    <t>стан організації роботи з класними керівниками та педагогічним колективом</t>
  </si>
  <si>
    <t>систематичність проведення медичних оглядів;</t>
  </si>
  <si>
    <t>кадрове забезпечення;</t>
  </si>
  <si>
    <t>відповідність обладнання медичного кабінету вимогам</t>
  </si>
  <si>
    <t>стан забезпечення навчанням за індивідуальною формою дітей, які того потребують</t>
  </si>
  <si>
    <t xml:space="preserve">охоплення відпочинком та оздоровленням у:
- заміських таборах;
- у таборах з денним перебуванням при закладах освіти;
- у профільних таборах;
- з них дітей пільгового контингенту
(із зазначенням відсотків від загальної кількості дітей та від запланованої кількості)
</t>
  </si>
  <si>
    <t>наявність аналізу статистичних даних у порівнянні з минулими роками і у відсотковому відношенні від загальної кількості випускників;</t>
  </si>
  <si>
    <t>наявність довідок про подальше працевлаштування випускників</t>
  </si>
  <si>
    <t>відсоток дітей (від загальної кількості дітей пільгових категорій), які відвідують факультативи, гуртки, секції, що функціонують на базі закладу освіти;</t>
  </si>
  <si>
    <t>відсоток дітей (від загальної кількості дітей пільгових категорій), які відвідують гуртки та секції у позашкільних навчальних закладах</t>
  </si>
  <si>
    <t>наявність аналізу даних у порівнянні з минулими роками та у відсотковому відношенні від запланованих показників;</t>
  </si>
  <si>
    <t xml:space="preserve">організація за рахунок фонду загального обов’язкового навчання (за рішенням шкільної комісії):
- забезпечення дітей-сиріт та дітей, позбавлених батьківського піклування,
шкільною формою, спортивним одягом та взуттям (один раз на два роки);
- надання одноразової матеріальної допомоги дітям пільгових категорій;
</t>
  </si>
  <si>
    <t>своєчасність виплат матеріальної допомоги;</t>
  </si>
  <si>
    <t>наявність заборгованості</t>
  </si>
  <si>
    <t>Організація роботи щодо забезпечення соціального захисту учнів пільгових категорій</t>
  </si>
  <si>
    <t>Здійснення обліку сімей, які опинились у складних життєвих обставинах, в яких не створюються належні умови для утримання і виховання дітей</t>
  </si>
  <si>
    <t>Організація роботи психологічної служби закладу</t>
  </si>
  <si>
    <t>Система медичного обстеження та обслуговування школярів</t>
  </si>
  <si>
    <t>Організація індивідуального навчання дітей-інвалідів</t>
  </si>
  <si>
    <t>Організація літнього відпочинку та оздоровлення дітей пільгових категорій</t>
  </si>
  <si>
    <t>Організація роботи щодо працевлаштування випускників</t>
  </si>
  <si>
    <t>Забезпечення зайнятості дітей пільгових категорій у позаурочний час</t>
  </si>
  <si>
    <t>Використання коштів фонду загального обов’язкового навчання. Надання матеріальної допомоги дітям-сиротам та дітям, позбавленим батьківського піклування</t>
  </si>
  <si>
    <t xml:space="preserve">наявність та рівень систематизації нормативно-правових документів у галузі охорони дитинства
- Законів України «Про освіту», «Про загальну середню освіту», «Про охорону дитинства»(зміни до Закону), «Про забезпечення організаційно – правових умов соціального захисту дітей-сиріт та дітей, позбавлених батьківського піклування»;
- Указів Президента України від 30.12.2000 № 1396/2000 «Про додаткові заходи щодо посилення соціального захисту багатодітних і неповних сімей», від 11.07.2005 № 1086/2005 «Про першочергові заходи щодо захисту прав дітей», від 04.05.2007 № 376/2007 «Про додаткові заходи щодо захисту прав та законних інтересів дітей»;
- постанови Кабінету Міністрів України від 05.04.1994 № 22 «Про поліпшення виховання, навчання, соціального захисту та матеріального забезпечення дітей-сиріт та дітей, позбавлених батьківського піклування»;
- наказу Міністерства освіти і науки України від 01.06. 2005 № 330 «Щодо захисту законних прав та інтересів дітей-сиріт та дітей, позбавлених батьківського піклування»;
</t>
  </si>
  <si>
    <t xml:space="preserve">вивчення стану діяльності управління освіти адміністрації району Харківської міської ради щодо створення системи управління навчальними закладами району (загальні питання)
</t>
  </si>
  <si>
    <t>ВИВЧЕННЯ СТАНУ ОРГАНІЗАЦІЇ  ОРГАНІЗАЦІЇ ХАРЧУВАННЯ УЧНІВ У ЗАГАЛЬНООСВІТНІХ НАВЧАЛЬНИХ ЗАКЛАДАХ М. ХАРКОВА</t>
  </si>
  <si>
    <t>Видання  наказів з організації харчування</t>
  </si>
  <si>
    <t>Нормативність видання наказів про організацію харчування учнів</t>
  </si>
  <si>
    <t>Правильність ведення обліку  харчування молоком учнів 1-х класів організаторами харчування.</t>
  </si>
  <si>
    <t>Відповідність даних у звітах відповідальних за харчування  учнів молоком з даними обліку у організаторів харчування.</t>
  </si>
  <si>
    <t>Відповідність обліку  харчування учнів молоком в організаторів харчування  з  даним відвідування учнями навчальних занять.</t>
  </si>
  <si>
    <t xml:space="preserve"> Стан забезпечення  водою гарантованої якості з альтернативних джерел водопостачання.</t>
  </si>
  <si>
    <t>Книга протоколів засідань  ради закладу</t>
  </si>
  <si>
    <t>Врахування нормативно-правових вимог щодо організації медичного обслуговування учнів у закладі</t>
  </si>
  <si>
    <t>Стан роботи  щодо покращання медичного обслуговування учнів.</t>
  </si>
  <si>
    <t>Стан організації роботи  щодо профілактики різних видів захворювання.</t>
  </si>
  <si>
    <t>Книга протоколів педагогічної ради</t>
  </si>
  <si>
    <t>Конкретність поставлених перед педагогічним колективом завдань з питань забезпечення  медичного обслуговування учнів, профілактики різних видів захворювань.</t>
  </si>
  <si>
    <t>Своєчасність і повнота доведення інформації з питань медичного обслуговування учнів та обстеження працівників.</t>
  </si>
  <si>
    <t>Організація контролю за виконанням прийнятих рішень.</t>
  </si>
  <si>
    <t>Наявність протоколів, їх змістовність, оптимальність визначених строків.</t>
  </si>
  <si>
    <t xml:space="preserve">Накази  </t>
  </si>
  <si>
    <t xml:space="preserve"> Про організацію роботи  щодо забезпечення  медичного обслуговування учнів,  профілактики різних видів захворювань тощо.</t>
  </si>
  <si>
    <t>Про підсумки роботи закладу щодо дотримання санітарного законодавства, покращання медичного обслуговування учнів, профілактики різних видів захворювання.</t>
  </si>
  <si>
    <r>
      <t xml:space="preserve"> </t>
    </r>
    <r>
      <rPr>
        <sz val="12"/>
        <color indexed="8"/>
        <rFont val="Times New Roman"/>
        <family val="1"/>
        <charset val="204"/>
      </rPr>
      <t>Про проведення  профілактичних медичних оглядів (перед початком навчального року, канікул, поглиблених) учнів</t>
    </r>
  </si>
  <si>
    <r>
      <t xml:space="preserve"> </t>
    </r>
    <r>
      <rPr>
        <sz val="12"/>
        <color indexed="8"/>
        <rFont val="Times New Roman"/>
        <family val="1"/>
        <charset val="204"/>
      </rPr>
      <t>Про проходження профілактичних медичних оглядів працівниками ЗНЗ</t>
    </r>
  </si>
  <si>
    <t xml:space="preserve">Про призначення відповідальної особи за  веденням форми первинного обліку N 1-ОМК «Особова медична книжка» </t>
  </si>
  <si>
    <t>Нормативність видання наказів</t>
  </si>
  <si>
    <t>9.Книга наказів з основної діяльності. Наявність наказів: 
про організацію навчання за екстернатною формою,
про створення комісій для проведення річного оцінювання, 
про допуск до ДПА</t>
  </si>
  <si>
    <t>10.Нормативність ведення алфавітної книги</t>
  </si>
  <si>
    <t>11.Наявність протоколів педради: 
про допуск до ДПА,
про вибір предметів, 
про випуск учнів</t>
  </si>
  <si>
    <t>ІІІ</t>
  </si>
  <si>
    <t xml:space="preserve">Матеріали річного оцінювання </t>
  </si>
  <si>
    <t>12.Розклад консультацій</t>
  </si>
  <si>
    <t>13.Графік річного оцінювання (погодження з РУО)</t>
  </si>
  <si>
    <t>14.Склад атестаційних комісій (погодження з РУО)</t>
  </si>
  <si>
    <t>15.Завдання (погодження з РУО)</t>
  </si>
  <si>
    <t>16.Письмові роботи</t>
  </si>
  <si>
    <t>17.Протоколи</t>
  </si>
  <si>
    <t>18.Організація проведення річного оцінювання</t>
  </si>
  <si>
    <t>ІV</t>
  </si>
  <si>
    <t xml:space="preserve">Матеріали державної підсумкової атестації </t>
  </si>
  <si>
    <t>19.Розклад (погодження з РУО)</t>
  </si>
  <si>
    <t>20.Наявність наказу РУО про створення атестаційних комісій</t>
  </si>
  <si>
    <t>21.Зберігання екзаменаційних матеріалів</t>
  </si>
  <si>
    <t>22.Своєчасність оформлення протоколів атестації</t>
  </si>
  <si>
    <t>23.Правильність оформлення робіт</t>
  </si>
  <si>
    <t>24.Наявність стендів щодо організації і проведення ЗНО і ДПА</t>
  </si>
  <si>
    <t>V</t>
  </si>
  <si>
    <t xml:space="preserve">Класні журнали </t>
  </si>
  <si>
    <t>25.Наявність оцінок за річне оцінювання</t>
  </si>
  <si>
    <t>26.Записи консультацій</t>
  </si>
  <si>
    <t>27.Нормативність ведення журналу</t>
  </si>
  <si>
    <t>VІ</t>
  </si>
  <si>
    <t xml:space="preserve">Особові справи учнів </t>
  </si>
  <si>
    <t>28.Нормативність ведення</t>
  </si>
  <si>
    <t>29.Відповідність наявній кількості учнів</t>
  </si>
  <si>
    <t>30.Наявність необхідних записів</t>
  </si>
  <si>
    <t>VІІ</t>
  </si>
  <si>
    <t xml:space="preserve">Нормативність видачі документів про освіту </t>
  </si>
  <si>
    <t>31.Наявність розписів учнів при одержані документа</t>
  </si>
  <si>
    <t>32.Правильність ведення</t>
  </si>
  <si>
    <t>33.Відповідність предметів робочому навчальному плану</t>
  </si>
  <si>
    <t>34.Відповідність виставлених оцінок річному оцінюванню</t>
  </si>
  <si>
    <t>35.Вравильність виставлення середнього балу атестату</t>
  </si>
  <si>
    <t>36.Правильність оформлення свідоцтв, атестатів, додатків до них</t>
  </si>
  <si>
    <t>Технологія оцінювання.</t>
  </si>
  <si>
    <t>Загальноосвітній навчальний заклад № ______</t>
  </si>
  <si>
    <t>1. Наявність нормативних документів з даного питання відповідно до переліку (додається)</t>
  </si>
  <si>
    <t>Підстави для організації індивідуального навчання</t>
  </si>
  <si>
    <t xml:space="preserve">Організація індивідуального навчання </t>
  </si>
  <si>
    <t>11. Відповідність фахової освіти вчителів до предмету, який викладається</t>
  </si>
  <si>
    <t xml:space="preserve">Здійснення контрольно-аналітичної діяльності адміністрацією навчального закладу </t>
  </si>
  <si>
    <t>13. Результати контрольно-аналітичної діяльності.</t>
  </si>
  <si>
    <t>ПРОТОКОЛ 
експертизи (вивчення) стану управлінської діяльності щодо організації навчання у пенітенціарних установах</t>
  </si>
  <si>
    <t xml:space="preserve">Спільна діяльність навчального закладу і пенітенціарної установи </t>
  </si>
  <si>
    <t xml:space="preserve"> 3.Наявність в установі і закладі відповідної угоди, плану спільних заходів</t>
  </si>
  <si>
    <t>4.Розгляд питання спільної роботи</t>
  </si>
  <si>
    <t>6.Допомога, яку надали закладу освіти</t>
  </si>
  <si>
    <t xml:space="preserve"> 7.Система проходу вчителів на територію</t>
  </si>
  <si>
    <t xml:space="preserve"> 8.Система безпеки</t>
  </si>
  <si>
    <t xml:space="preserve">Створення умов для навчання </t>
  </si>
  <si>
    <t xml:space="preserve"> 9.Ремонт</t>
  </si>
  <si>
    <t xml:space="preserve"> 10.Оснащення кабінетів</t>
  </si>
  <si>
    <t xml:space="preserve"> 11Поповнення наочністю</t>
  </si>
  <si>
    <t xml:space="preserve"> 12.Забезпеченість шкільними письмовими обладнаннями</t>
  </si>
  <si>
    <t xml:space="preserve"> 13.Забезпеченість підручниками</t>
  </si>
  <si>
    <t xml:space="preserve">Організація навчально-виховного процесу </t>
  </si>
  <si>
    <t>14.Кадрове забезпечення</t>
  </si>
  <si>
    <t>15.Розклад уроків</t>
  </si>
  <si>
    <t>16.Відповідність проведених уроків розкладу уроків</t>
  </si>
  <si>
    <t>17.Використання роздаткового матеріалу, наочності</t>
  </si>
  <si>
    <t>18.Наявність зошитів для контрольних робіт, тематичного оцінювання, залікових робіт</t>
  </si>
  <si>
    <t>19.Якість відвіданих уроків, ефективність</t>
  </si>
  <si>
    <t>20.Наявність та глибина ана­лізу в річному плані стану навчально-виховно­го процесу в минулому навчальному році</t>
  </si>
  <si>
    <t>21.Спрямованість завдань поточного навчального ро­ку на реалізацію сучасних нормативних та інструк­тивних докумен­тів</t>
  </si>
  <si>
    <t>22.Планування внутрішньошкільного контролю</t>
  </si>
  <si>
    <t>23.Виконання річного плану</t>
  </si>
  <si>
    <t>24.Наявність графіка проведення тематичних атестацій, контрольних і практичних робіт, відповідність нормативним вимогам</t>
  </si>
  <si>
    <t xml:space="preserve">Облік руху учнів </t>
  </si>
  <si>
    <t>25.Нормативність ведення книги реєстрації наказів</t>
  </si>
  <si>
    <t>26.Нормативність видання наказів про зарахування учнів</t>
  </si>
  <si>
    <t>28.Відповідність кількості учнів алфавітній книзі, запису у класних журналах, кількості особових справ</t>
  </si>
  <si>
    <t>29.Наявність наказів про випуск учнів 9, 11 класів, відповідність алфавітній книзі та протоколу педради. Терміни видання наказів</t>
  </si>
  <si>
    <t>30.Наявність наказів про переведення учнів до наступного класу, дотримання термінів</t>
  </si>
  <si>
    <t>31.Наявність наказів про затвердження шкільної мережі на початок І та ІІ семестрів</t>
  </si>
  <si>
    <r>
      <t xml:space="preserve">32.Своєчасність заповнення алфавітної книги </t>
    </r>
    <r>
      <rPr>
        <i/>
        <sz val="12"/>
        <color indexed="8"/>
        <rFont val="Times New Roman"/>
        <family val="1"/>
        <charset val="204"/>
      </rPr>
      <t>(по мірі зарахування та відрахування учнів)</t>
    </r>
  </si>
  <si>
    <t>33.Відповідність записів про видання свідоцтв про базову загальну середню освіту наказу по закладу. Відповідність кількості виданих свідоцтв підписам учнів про одержання</t>
  </si>
  <si>
    <t>34.Відповідність записів про видання атестатів про повну загальну середню освіту наказу по закладу. Відповідність кількості виданих атестатів підписам учнів про одержання</t>
  </si>
  <si>
    <t>VІІІ</t>
  </si>
  <si>
    <t>35.Організація нормативного збереження клас­них журналів минулих та поточного навчального року</t>
  </si>
  <si>
    <t>36.Охайність ведення, обумовленість виправлень</t>
  </si>
  <si>
    <t>37.Систематичний облік відсутніх учнів і його відповідність (класними керівниками; вчителями-предметниками)</t>
  </si>
  <si>
    <t>38.Відповідність здійснення тематичного обліку навчальних досягнень учнів нормативним вимогам</t>
  </si>
  <si>
    <t>39.Здійснення ко­нтролю за веден­ням журналів з боку адміністра­ції закладу та його дієвість</t>
  </si>
  <si>
    <t>ІХ</t>
  </si>
  <si>
    <t>40.Нормативність ведення та зберігання</t>
  </si>
  <si>
    <t>41.Відповідність кількості особових справ кількості учнів по класах</t>
  </si>
  <si>
    <t>42.Наявність особових справ учнів, які прибули</t>
  </si>
  <si>
    <t>1.Наявність нормативних документів з даного питання.</t>
  </si>
  <si>
    <t>4.Своєчасність видання і реєстрації відповідних наказів.</t>
  </si>
  <si>
    <t>Додаток</t>
  </si>
  <si>
    <t>вивчення стану управлінської діяльності в навчальних закладах з питань фінансово-господарської діяльності</t>
  </si>
  <si>
    <t>Заклад № ____________________________</t>
  </si>
  <si>
    <t>П.І.Б. керівника _______________________________________________________________</t>
  </si>
  <si>
    <t xml:space="preserve">Крітерії оцінювання </t>
  </si>
  <si>
    <t>Наявність розділу з планування фінансово-господарської діяльності</t>
  </si>
  <si>
    <t>Охоплення плануванням усіх напрямків фінансово-господарської діяльності</t>
  </si>
  <si>
    <t>Конкретність запланованих заходів</t>
  </si>
  <si>
    <t>Оптимальність визначення строків виконання</t>
  </si>
  <si>
    <t>Зазначення відповідальних</t>
  </si>
  <si>
    <t xml:space="preserve">Наявність позначок про виконання </t>
  </si>
  <si>
    <t>Інформаційне забезпечення управління фінансово-господарською діяльністю</t>
  </si>
  <si>
    <t>Обізнаність керівників з вимогами нормативних та інструктивних документів щодо організації фінансово-господарської діяльності</t>
  </si>
  <si>
    <t xml:space="preserve">Своєчасність доведення до виконавців інформації щодо організації фінансово-господарської діяльності </t>
  </si>
  <si>
    <t>Використання бюджетних коштів</t>
  </si>
  <si>
    <t>Наявність кошторису доходу та видатків на поточний рік</t>
  </si>
  <si>
    <t>Наявність лімітної довідки</t>
  </si>
  <si>
    <t xml:space="preserve">Наявність помісячного плану асигнувань </t>
  </si>
  <si>
    <t>Відповідність затверджених асигнувань на поточний рік доведеній лімітній довідці</t>
  </si>
  <si>
    <t>Дотримання порядку складання, затвердження кошторисів та основних вимог до виконання кошторисів бюджетних установ</t>
  </si>
  <si>
    <t>Обгрунтовність доведених бюджетних асигнуваннях за КЕКВ загального фонду бюджету</t>
  </si>
  <si>
    <t>Дотримання порядку внесення змін до кошторису</t>
  </si>
  <si>
    <t>Виконання кошторисів доходів та видатків</t>
  </si>
  <si>
    <t>Прийняття відповідних управлінських рішень за результатами виконання кошторису</t>
  </si>
  <si>
    <t>ІV.</t>
  </si>
  <si>
    <t>Штатний розпис і тарифікація педпрацівників</t>
  </si>
  <si>
    <t>Наявність тарифікаційного списку педпрацівників та штатного розпису закладу</t>
  </si>
  <si>
    <t>Дотримання порядку складання та затвердження тарифікаційного списку і штатного розпису</t>
  </si>
  <si>
    <t xml:space="preserve">Наявність документів з підвищення посадових окладів та додаткової оплати праці педагогічним працівникам </t>
  </si>
  <si>
    <t>Нарахування заробітної плати</t>
  </si>
  <si>
    <t>Правильність нарахування заробітної плати працівникам, дотримання нормативно-правових та розпорядчих документів</t>
  </si>
  <si>
    <t>Наявність розділу, заходів з питання, врахування нормативно-правових вимог щодо організації харчування у закладі</t>
  </si>
  <si>
    <t xml:space="preserve">Ґрунтовність аналізу роботи за минулий навчальний рік </t>
  </si>
  <si>
    <t>Відбиття роботи навчального закладу щодо створення необхідних матеріально-технічних умов для організації харчування учнів, оновлення технологічного обладнання</t>
  </si>
  <si>
    <t>Конкретність поставлених перед педагогічним колективом завдань, оптимальність визначення строків</t>
  </si>
  <si>
    <t>Наявність позначок про виконання і відміток про зберігання матеріалів згідно з номенклатурою справ;</t>
  </si>
  <si>
    <t>Висвітлення питання у протоколах педагогічної ради</t>
  </si>
  <si>
    <t xml:space="preserve">вивчення стану управлінської діяльності з організації обліку працевлаштування випускників 9-х, 11-х класів в управлінні освіти
адміністрації _____________________ району Харківської міської ради
</t>
  </si>
  <si>
    <t>Наявність розділу та заходів з обліку працевлаштування випускників 9-х, 11-х класів.</t>
  </si>
  <si>
    <r>
      <rPr>
        <sz val="14"/>
        <color indexed="8"/>
        <rFont val="Times New Roman"/>
        <family val="1"/>
        <charset val="204"/>
      </rPr>
      <t>V</t>
    </r>
    <r>
      <rPr>
        <vertAlign val="subscript"/>
        <sz val="14"/>
        <color indexed="8"/>
        <rFont val="Times New Roman"/>
        <family val="1"/>
        <charset val="204"/>
      </rPr>
      <t>1</t>
    </r>
    <r>
      <rPr>
        <sz val="14"/>
        <color indexed="8"/>
        <rFont val="Times New Roman"/>
        <family val="1"/>
        <charset val="204"/>
      </rPr>
      <t>=</t>
    </r>
  </si>
  <si>
    <r>
      <t>K</t>
    </r>
    <r>
      <rPr>
        <vertAlign val="subscript"/>
        <sz val="14"/>
        <color indexed="8"/>
        <rFont val="Times New Roman"/>
        <family val="1"/>
        <charset val="204"/>
      </rPr>
      <t>1</t>
    </r>
    <r>
      <rPr>
        <sz val="14"/>
        <color indexed="8"/>
        <rFont val="Times New Roman"/>
        <family val="1"/>
        <charset val="204"/>
      </rPr>
      <t>=</t>
    </r>
  </si>
  <si>
    <r>
      <t>V</t>
    </r>
    <r>
      <rPr>
        <vertAlign val="subscript"/>
        <sz val="14"/>
        <color indexed="8"/>
        <rFont val="Times New Roman"/>
        <family val="1"/>
        <charset val="204"/>
      </rPr>
      <t>2</t>
    </r>
    <r>
      <rPr>
        <sz val="14"/>
        <color indexed="8"/>
        <rFont val="Times New Roman"/>
        <family val="1"/>
        <charset val="204"/>
      </rPr>
      <t>=</t>
    </r>
  </si>
  <si>
    <r>
      <t>K</t>
    </r>
    <r>
      <rPr>
        <vertAlign val="subscript"/>
        <sz val="14"/>
        <color indexed="8"/>
        <rFont val="Times New Roman"/>
        <family val="1"/>
        <charset val="204"/>
      </rPr>
      <t>2</t>
    </r>
    <r>
      <rPr>
        <sz val="14"/>
        <color indexed="8"/>
        <rFont val="Times New Roman"/>
        <family val="1"/>
        <charset val="204"/>
      </rPr>
      <t>=</t>
    </r>
  </si>
  <si>
    <r>
      <t>m</t>
    </r>
    <r>
      <rPr>
        <vertAlign val="subscript"/>
        <sz val="14"/>
        <color indexed="8"/>
        <rFont val="Times New Roman"/>
        <family val="1"/>
        <charset val="204"/>
      </rPr>
      <t>1</t>
    </r>
    <r>
      <rPr>
        <sz val="14"/>
        <color indexed="8"/>
        <rFont val="Times New Roman"/>
        <family val="1"/>
        <charset val="204"/>
      </rPr>
      <t>=</t>
    </r>
  </si>
  <si>
    <t>Врахування вимог нормативних документів при планування роботи на наступний навчальний рік.</t>
  </si>
  <si>
    <r>
      <t>V</t>
    </r>
    <r>
      <rPr>
        <vertAlign val="subscript"/>
        <sz val="14"/>
        <color indexed="8"/>
        <rFont val="Times New Roman"/>
        <family val="1"/>
        <charset val="204"/>
      </rPr>
      <t>3</t>
    </r>
    <r>
      <rPr>
        <sz val="14"/>
        <color indexed="8"/>
        <rFont val="Times New Roman"/>
        <family val="1"/>
        <charset val="204"/>
      </rPr>
      <t>=</t>
    </r>
  </si>
  <si>
    <r>
      <t>K</t>
    </r>
    <r>
      <rPr>
        <vertAlign val="subscript"/>
        <sz val="14"/>
        <color indexed="8"/>
        <rFont val="Times New Roman"/>
        <family val="1"/>
        <charset val="204"/>
      </rPr>
      <t>3</t>
    </r>
    <r>
      <rPr>
        <sz val="14"/>
        <color indexed="8"/>
        <rFont val="Times New Roman"/>
        <family val="1"/>
        <charset val="204"/>
      </rPr>
      <t>=</t>
    </r>
  </si>
  <si>
    <r>
      <t>V</t>
    </r>
    <r>
      <rPr>
        <vertAlign val="subscript"/>
        <sz val="14"/>
        <color indexed="8"/>
        <rFont val="Times New Roman"/>
        <family val="1"/>
        <charset val="204"/>
      </rPr>
      <t>4</t>
    </r>
    <r>
      <rPr>
        <sz val="14"/>
        <color indexed="8"/>
        <rFont val="Times New Roman"/>
        <family val="1"/>
        <charset val="204"/>
      </rPr>
      <t>=</t>
    </r>
  </si>
  <si>
    <r>
      <t>K</t>
    </r>
    <r>
      <rPr>
        <vertAlign val="subscript"/>
        <sz val="14"/>
        <color indexed="8"/>
        <rFont val="Times New Roman"/>
        <family val="1"/>
        <charset val="204"/>
      </rPr>
      <t>4</t>
    </r>
    <r>
      <rPr>
        <sz val="14"/>
        <color indexed="8"/>
        <rFont val="Times New Roman"/>
        <family val="1"/>
        <charset val="204"/>
      </rPr>
      <t>=</t>
    </r>
  </si>
  <si>
    <r>
      <t>V</t>
    </r>
    <r>
      <rPr>
        <vertAlign val="subscript"/>
        <sz val="14"/>
        <color indexed="8"/>
        <rFont val="Times New Roman"/>
        <family val="1"/>
        <charset val="204"/>
      </rPr>
      <t>5</t>
    </r>
    <r>
      <rPr>
        <sz val="14"/>
        <color indexed="8"/>
        <rFont val="Times New Roman"/>
        <family val="1"/>
        <charset val="204"/>
      </rPr>
      <t>=</t>
    </r>
  </si>
  <si>
    <r>
      <t>K</t>
    </r>
    <r>
      <rPr>
        <vertAlign val="subscript"/>
        <sz val="14"/>
        <color indexed="8"/>
        <rFont val="Times New Roman"/>
        <family val="1"/>
        <charset val="204"/>
      </rPr>
      <t>5</t>
    </r>
    <r>
      <rPr>
        <sz val="14"/>
        <color indexed="8"/>
        <rFont val="Times New Roman"/>
        <family val="1"/>
        <charset val="204"/>
      </rPr>
      <t>=</t>
    </r>
  </si>
  <si>
    <r>
      <t>V</t>
    </r>
    <r>
      <rPr>
        <vertAlign val="subscript"/>
        <sz val="14"/>
        <color indexed="8"/>
        <rFont val="Times New Roman"/>
        <family val="1"/>
        <charset val="204"/>
      </rPr>
      <t>6</t>
    </r>
    <r>
      <rPr>
        <sz val="14"/>
        <color indexed="8"/>
        <rFont val="Times New Roman"/>
        <family val="1"/>
        <charset val="204"/>
      </rPr>
      <t>=</t>
    </r>
  </si>
  <si>
    <r>
      <t>K</t>
    </r>
    <r>
      <rPr>
        <vertAlign val="subscript"/>
        <sz val="14"/>
        <color indexed="8"/>
        <rFont val="Times New Roman"/>
        <family val="1"/>
        <charset val="204"/>
      </rPr>
      <t>6</t>
    </r>
    <r>
      <rPr>
        <sz val="14"/>
        <color indexed="8"/>
        <rFont val="Times New Roman"/>
        <family val="1"/>
        <charset val="204"/>
      </rPr>
      <t>=</t>
    </r>
  </si>
  <si>
    <t>Наявність позначок про виконання та зберігання матеріалів у номенклатурі справ.</t>
  </si>
  <si>
    <r>
      <t>V</t>
    </r>
    <r>
      <rPr>
        <vertAlign val="subscript"/>
        <sz val="14"/>
        <color indexed="8"/>
        <rFont val="Times New Roman"/>
        <family val="1"/>
        <charset val="204"/>
      </rPr>
      <t>7</t>
    </r>
    <r>
      <rPr>
        <sz val="14"/>
        <color indexed="8"/>
        <rFont val="Times New Roman"/>
        <family val="1"/>
        <charset val="204"/>
      </rPr>
      <t>=</t>
    </r>
  </si>
  <si>
    <r>
      <t>K</t>
    </r>
    <r>
      <rPr>
        <vertAlign val="subscript"/>
        <sz val="14"/>
        <color indexed="8"/>
        <rFont val="Times New Roman"/>
        <family val="1"/>
        <charset val="204"/>
      </rPr>
      <t>7</t>
    </r>
    <r>
      <rPr>
        <sz val="14"/>
        <color indexed="8"/>
        <rFont val="Times New Roman"/>
        <family val="1"/>
        <charset val="204"/>
      </rPr>
      <t>=</t>
    </r>
  </si>
  <si>
    <r>
      <t>m</t>
    </r>
    <r>
      <rPr>
        <vertAlign val="subscript"/>
        <sz val="14"/>
        <color indexed="8"/>
        <rFont val="Times New Roman"/>
        <family val="1"/>
        <charset val="204"/>
      </rPr>
      <t>2</t>
    </r>
    <r>
      <rPr>
        <sz val="14"/>
        <color indexed="8"/>
        <rFont val="Times New Roman"/>
        <family val="1"/>
        <charset val="204"/>
      </rPr>
      <t>=</t>
    </r>
  </si>
  <si>
    <t>Своєчасність видання наказів «Про проведення обліку працевлаштування випускників 9-х, 11-х класів 20__ року» (видається щороку до 01 червня), «Про підсумки роботи з обліку працевлаштування випускників 9-х, 11-х класів 20__ року»(видається щороку у жовтні).</t>
  </si>
  <si>
    <r>
      <t>V</t>
    </r>
    <r>
      <rPr>
        <vertAlign val="subscript"/>
        <sz val="14"/>
        <color indexed="8"/>
        <rFont val="Times New Roman"/>
        <family val="1"/>
        <charset val="204"/>
      </rPr>
      <t>8</t>
    </r>
    <r>
      <rPr>
        <sz val="14"/>
        <color indexed="8"/>
        <rFont val="Times New Roman"/>
        <family val="1"/>
        <charset val="204"/>
      </rPr>
      <t>=</t>
    </r>
  </si>
  <si>
    <r>
      <t>K</t>
    </r>
    <r>
      <rPr>
        <vertAlign val="subscript"/>
        <sz val="14"/>
        <color indexed="8"/>
        <rFont val="Times New Roman"/>
        <family val="1"/>
        <charset val="204"/>
      </rPr>
      <t>8</t>
    </r>
    <r>
      <rPr>
        <sz val="14"/>
        <color indexed="8"/>
        <rFont val="Times New Roman"/>
        <family val="1"/>
        <charset val="204"/>
      </rPr>
      <t>=</t>
    </r>
  </si>
  <si>
    <r>
      <t>V</t>
    </r>
    <r>
      <rPr>
        <vertAlign val="subscript"/>
        <sz val="14"/>
        <color indexed="8"/>
        <rFont val="Times New Roman"/>
        <family val="1"/>
        <charset val="204"/>
      </rPr>
      <t>9</t>
    </r>
    <r>
      <rPr>
        <sz val="14"/>
        <color indexed="8"/>
        <rFont val="Times New Roman"/>
        <family val="1"/>
        <charset val="204"/>
      </rPr>
      <t>=</t>
    </r>
  </si>
  <si>
    <r>
      <t>K</t>
    </r>
    <r>
      <rPr>
        <vertAlign val="subscript"/>
        <sz val="14"/>
        <color indexed="8"/>
        <rFont val="Times New Roman"/>
        <family val="1"/>
        <charset val="204"/>
      </rPr>
      <t>9</t>
    </r>
    <r>
      <rPr>
        <sz val="14"/>
        <color indexed="8"/>
        <rFont val="Times New Roman"/>
        <family val="1"/>
        <charset val="204"/>
      </rPr>
      <t>=</t>
    </r>
  </si>
  <si>
    <r>
      <t>V</t>
    </r>
    <r>
      <rPr>
        <vertAlign val="subscript"/>
        <sz val="14"/>
        <color indexed="8"/>
        <rFont val="Times New Roman"/>
        <family val="1"/>
        <charset val="204"/>
      </rPr>
      <t>10</t>
    </r>
    <r>
      <rPr>
        <sz val="14"/>
        <color indexed="8"/>
        <rFont val="Times New Roman"/>
        <family val="1"/>
        <charset val="204"/>
      </rPr>
      <t>=</t>
    </r>
  </si>
  <si>
    <r>
      <t>K</t>
    </r>
    <r>
      <rPr>
        <vertAlign val="subscript"/>
        <sz val="14"/>
        <color indexed="8"/>
        <rFont val="Times New Roman"/>
        <family val="1"/>
        <charset val="204"/>
      </rPr>
      <t>10</t>
    </r>
    <r>
      <rPr>
        <sz val="14"/>
        <color indexed="8"/>
        <rFont val="Times New Roman"/>
        <family val="1"/>
        <charset val="204"/>
      </rPr>
      <t>=</t>
    </r>
  </si>
  <si>
    <r>
      <t>V</t>
    </r>
    <r>
      <rPr>
        <vertAlign val="subscript"/>
        <sz val="14"/>
        <color indexed="8"/>
        <rFont val="Times New Roman"/>
        <family val="1"/>
        <charset val="204"/>
      </rPr>
      <t>11</t>
    </r>
    <r>
      <rPr>
        <sz val="14"/>
        <color indexed="8"/>
        <rFont val="Times New Roman"/>
        <family val="1"/>
        <charset val="204"/>
      </rPr>
      <t>=</t>
    </r>
  </si>
  <si>
    <r>
      <t>K</t>
    </r>
    <r>
      <rPr>
        <vertAlign val="subscript"/>
        <sz val="14"/>
        <color indexed="8"/>
        <rFont val="Times New Roman"/>
        <family val="1"/>
        <charset val="204"/>
      </rPr>
      <t>11</t>
    </r>
    <r>
      <rPr>
        <sz val="14"/>
        <color indexed="8"/>
        <rFont val="Times New Roman"/>
        <family val="1"/>
        <charset val="204"/>
      </rPr>
      <t>=</t>
    </r>
  </si>
  <si>
    <t xml:space="preserve">Наявність та нормативність оформлення матеріалів з організації обліку працевлаштування випускників 9-х, 11-х класів. </t>
  </si>
  <si>
    <r>
      <t>V</t>
    </r>
    <r>
      <rPr>
        <vertAlign val="subscript"/>
        <sz val="14"/>
        <color indexed="8"/>
        <rFont val="Times New Roman"/>
        <family val="1"/>
        <charset val="204"/>
      </rPr>
      <t>12</t>
    </r>
    <r>
      <rPr>
        <sz val="14"/>
        <color indexed="8"/>
        <rFont val="Times New Roman"/>
        <family val="1"/>
        <charset val="204"/>
      </rPr>
      <t>=</t>
    </r>
  </si>
  <si>
    <r>
      <t>K</t>
    </r>
    <r>
      <rPr>
        <vertAlign val="subscript"/>
        <sz val="14"/>
        <color indexed="8"/>
        <rFont val="Times New Roman"/>
        <family val="1"/>
        <charset val="204"/>
      </rPr>
      <t>12</t>
    </r>
    <r>
      <rPr>
        <sz val="14"/>
        <color indexed="8"/>
        <rFont val="Times New Roman"/>
        <family val="1"/>
        <charset val="204"/>
      </rPr>
      <t>=</t>
    </r>
  </si>
  <si>
    <t>Наявність статистичних звітів з обліку працевлаштування випускників 9-х, 11-х класів, їх достовірність.</t>
  </si>
  <si>
    <r>
      <t>V</t>
    </r>
    <r>
      <rPr>
        <vertAlign val="subscript"/>
        <sz val="14"/>
        <color indexed="8"/>
        <rFont val="Times New Roman"/>
        <family val="1"/>
        <charset val="204"/>
      </rPr>
      <t>13</t>
    </r>
    <r>
      <rPr>
        <sz val="14"/>
        <color indexed="8"/>
        <rFont val="Times New Roman"/>
        <family val="1"/>
        <charset val="204"/>
      </rPr>
      <t>=</t>
    </r>
  </si>
  <si>
    <r>
      <t>K</t>
    </r>
    <r>
      <rPr>
        <vertAlign val="subscript"/>
        <sz val="14"/>
        <color indexed="8"/>
        <rFont val="Times New Roman"/>
        <family val="1"/>
        <charset val="204"/>
      </rPr>
      <t>13</t>
    </r>
    <r>
      <rPr>
        <sz val="14"/>
        <color indexed="8"/>
        <rFont val="Times New Roman"/>
        <family val="1"/>
        <charset val="204"/>
      </rPr>
      <t>=</t>
    </r>
  </si>
  <si>
    <r>
      <t>m</t>
    </r>
    <r>
      <rPr>
        <vertAlign val="subscript"/>
        <sz val="14"/>
        <color indexed="8"/>
        <rFont val="Times New Roman"/>
        <family val="1"/>
        <charset val="204"/>
      </rPr>
      <t>3</t>
    </r>
    <r>
      <rPr>
        <sz val="14"/>
        <color indexed="8"/>
        <rFont val="Times New Roman"/>
        <family val="1"/>
        <charset val="204"/>
      </rPr>
      <t>=</t>
    </r>
  </si>
  <si>
    <t>Відсоток випускників 9-х класів, які продовжують навчання.</t>
  </si>
  <si>
    <r>
      <t>V</t>
    </r>
    <r>
      <rPr>
        <vertAlign val="subscript"/>
        <sz val="14"/>
        <color indexed="8"/>
        <rFont val="Times New Roman"/>
        <family val="1"/>
        <charset val="204"/>
      </rPr>
      <t>14</t>
    </r>
    <r>
      <rPr>
        <sz val="14"/>
        <color indexed="8"/>
        <rFont val="Times New Roman"/>
        <family val="1"/>
        <charset val="204"/>
      </rPr>
      <t>=</t>
    </r>
  </si>
  <si>
    <r>
      <t>K</t>
    </r>
    <r>
      <rPr>
        <vertAlign val="subscript"/>
        <sz val="14"/>
        <color indexed="8"/>
        <rFont val="Times New Roman"/>
        <family val="1"/>
        <charset val="204"/>
      </rPr>
      <t>14</t>
    </r>
    <r>
      <rPr>
        <sz val="14"/>
        <color indexed="8"/>
        <rFont val="Times New Roman"/>
        <family val="1"/>
        <charset val="204"/>
      </rPr>
      <t>=</t>
    </r>
  </si>
  <si>
    <t>Відсоток випускників 9-х класів, які навчаються без здобуття середньої освіти. Наявність списку таких випускників.</t>
  </si>
  <si>
    <r>
      <t>V</t>
    </r>
    <r>
      <rPr>
        <vertAlign val="subscript"/>
        <sz val="14"/>
        <color indexed="8"/>
        <rFont val="Times New Roman"/>
        <family val="1"/>
        <charset val="204"/>
      </rPr>
      <t>15</t>
    </r>
    <r>
      <rPr>
        <sz val="14"/>
        <color indexed="8"/>
        <rFont val="Times New Roman"/>
        <family val="1"/>
        <charset val="204"/>
      </rPr>
      <t>=</t>
    </r>
  </si>
  <si>
    <r>
      <t>K</t>
    </r>
    <r>
      <rPr>
        <vertAlign val="subscript"/>
        <sz val="14"/>
        <color indexed="8"/>
        <rFont val="Times New Roman"/>
        <family val="1"/>
        <charset val="204"/>
      </rPr>
      <t>15</t>
    </r>
    <r>
      <rPr>
        <sz val="14"/>
        <color indexed="8"/>
        <rFont val="Times New Roman"/>
        <family val="1"/>
        <charset val="204"/>
      </rPr>
      <t>=</t>
    </r>
  </si>
  <si>
    <r>
      <t>V</t>
    </r>
    <r>
      <rPr>
        <vertAlign val="subscript"/>
        <sz val="14"/>
        <color indexed="8"/>
        <rFont val="Times New Roman"/>
        <family val="1"/>
        <charset val="204"/>
      </rPr>
      <t>16</t>
    </r>
    <r>
      <rPr>
        <sz val="14"/>
        <color indexed="8"/>
        <rFont val="Times New Roman"/>
        <family val="1"/>
        <charset val="204"/>
      </rPr>
      <t>=</t>
    </r>
  </si>
  <si>
    <r>
      <t>K</t>
    </r>
    <r>
      <rPr>
        <vertAlign val="subscript"/>
        <sz val="14"/>
        <color indexed="8"/>
        <rFont val="Times New Roman"/>
        <family val="1"/>
        <charset val="204"/>
      </rPr>
      <t>16</t>
    </r>
    <r>
      <rPr>
        <sz val="14"/>
        <color indexed="8"/>
        <rFont val="Times New Roman"/>
        <family val="1"/>
        <charset val="204"/>
      </rPr>
      <t>=</t>
    </r>
  </si>
  <si>
    <t>Відсоток випускників 9-х класів, які не працюють і не навчаються.</t>
  </si>
  <si>
    <r>
      <t>V</t>
    </r>
    <r>
      <rPr>
        <vertAlign val="subscript"/>
        <sz val="14"/>
        <color indexed="8"/>
        <rFont val="Times New Roman"/>
        <family val="1"/>
        <charset val="204"/>
      </rPr>
      <t>17</t>
    </r>
    <r>
      <rPr>
        <sz val="14"/>
        <color indexed="8"/>
        <rFont val="Times New Roman"/>
        <family val="1"/>
        <charset val="204"/>
      </rPr>
      <t>=</t>
    </r>
  </si>
  <si>
    <r>
      <t>K</t>
    </r>
    <r>
      <rPr>
        <vertAlign val="subscript"/>
        <sz val="14"/>
        <color indexed="8"/>
        <rFont val="Times New Roman"/>
        <family val="1"/>
        <charset val="204"/>
      </rPr>
      <t>17</t>
    </r>
    <r>
      <rPr>
        <sz val="14"/>
        <color indexed="8"/>
        <rFont val="Times New Roman"/>
        <family val="1"/>
        <charset val="204"/>
      </rPr>
      <t>=</t>
    </r>
  </si>
  <si>
    <t>Відсоток випускників 11-х класів, які продовжують навчання</t>
  </si>
  <si>
    <r>
      <t>V</t>
    </r>
    <r>
      <rPr>
        <vertAlign val="subscript"/>
        <sz val="14"/>
        <color indexed="8"/>
        <rFont val="Times New Roman"/>
        <family val="1"/>
        <charset val="204"/>
      </rPr>
      <t>18</t>
    </r>
    <r>
      <rPr>
        <sz val="14"/>
        <color indexed="8"/>
        <rFont val="Times New Roman"/>
        <family val="1"/>
        <charset val="204"/>
      </rPr>
      <t>=</t>
    </r>
  </si>
  <si>
    <r>
      <t>K</t>
    </r>
    <r>
      <rPr>
        <vertAlign val="subscript"/>
        <sz val="14"/>
        <color indexed="8"/>
        <rFont val="Times New Roman"/>
        <family val="1"/>
        <charset val="204"/>
      </rPr>
      <t>18</t>
    </r>
    <r>
      <rPr>
        <sz val="14"/>
        <color indexed="8"/>
        <rFont val="Times New Roman"/>
        <family val="1"/>
        <charset val="204"/>
      </rPr>
      <t>=</t>
    </r>
  </si>
  <si>
    <t>Наявність довідок з місця навчання тих учнів, які здобувають загальну середню освіту в інших навчальних закладах.</t>
  </si>
  <si>
    <r>
      <t>V</t>
    </r>
    <r>
      <rPr>
        <vertAlign val="subscript"/>
        <sz val="14"/>
        <color indexed="8"/>
        <rFont val="Times New Roman"/>
        <family val="1"/>
        <charset val="204"/>
      </rPr>
      <t>19</t>
    </r>
    <r>
      <rPr>
        <sz val="14"/>
        <color indexed="8"/>
        <rFont val="Times New Roman"/>
        <family val="1"/>
        <charset val="204"/>
      </rPr>
      <t>=</t>
    </r>
  </si>
  <si>
    <r>
      <t>K</t>
    </r>
    <r>
      <rPr>
        <vertAlign val="subscript"/>
        <sz val="14"/>
        <color indexed="8"/>
        <rFont val="Times New Roman"/>
        <family val="1"/>
        <charset val="204"/>
      </rPr>
      <t>19</t>
    </r>
    <r>
      <rPr>
        <sz val="14"/>
        <color indexed="8"/>
        <rFont val="Times New Roman"/>
        <family val="1"/>
        <charset val="204"/>
      </rPr>
      <t>=</t>
    </r>
  </si>
  <si>
    <t>Наявність списку учнів, які не прибули на навчання станом на 5 вересня, із зазначенням причин.</t>
  </si>
  <si>
    <r>
      <t>V</t>
    </r>
    <r>
      <rPr>
        <vertAlign val="subscript"/>
        <sz val="14"/>
        <color indexed="8"/>
        <rFont val="Times New Roman"/>
        <family val="1"/>
        <charset val="204"/>
      </rPr>
      <t>20</t>
    </r>
    <r>
      <rPr>
        <sz val="14"/>
        <color indexed="8"/>
        <rFont val="Times New Roman"/>
        <family val="1"/>
        <charset val="204"/>
      </rPr>
      <t>=</t>
    </r>
  </si>
  <si>
    <r>
      <t>K</t>
    </r>
    <r>
      <rPr>
        <vertAlign val="subscript"/>
        <sz val="14"/>
        <color indexed="8"/>
        <rFont val="Times New Roman"/>
        <family val="1"/>
        <charset val="204"/>
      </rPr>
      <t>20</t>
    </r>
    <r>
      <rPr>
        <sz val="14"/>
        <color indexed="8"/>
        <rFont val="Times New Roman"/>
        <family val="1"/>
        <charset val="204"/>
      </rPr>
      <t>=</t>
    </r>
  </si>
  <si>
    <t xml:space="preserve">Своєчасність вжитих заходів щодо залучення до навчання неповнолітніх (акти обстеження житлово-побутових умов, пояснювальні батьків або осіб, що їх заміняють, про причини ненавчання їхніх дітей, листи до ВКМСН, листи до служби у справах неповнолітніх, зібрані документи на позбавлення батьківських прав.
</t>
  </si>
  <si>
    <r>
      <t>V</t>
    </r>
    <r>
      <rPr>
        <vertAlign val="subscript"/>
        <sz val="14"/>
        <color indexed="8"/>
        <rFont val="Times New Roman"/>
        <family val="1"/>
        <charset val="204"/>
      </rPr>
      <t>21</t>
    </r>
    <r>
      <rPr>
        <sz val="14"/>
        <color indexed="8"/>
        <rFont val="Times New Roman"/>
        <family val="1"/>
        <charset val="204"/>
      </rPr>
      <t>=</t>
    </r>
  </si>
  <si>
    <r>
      <t>K</t>
    </r>
    <r>
      <rPr>
        <vertAlign val="subscript"/>
        <sz val="14"/>
        <color indexed="8"/>
        <rFont val="Times New Roman"/>
        <family val="1"/>
        <charset val="204"/>
      </rPr>
      <t>21</t>
    </r>
    <r>
      <rPr>
        <sz val="14"/>
        <color indexed="8"/>
        <rFont val="Times New Roman"/>
        <family val="1"/>
        <charset val="204"/>
      </rPr>
      <t>=</t>
    </r>
  </si>
  <si>
    <t xml:space="preserve">Критерії оцінювання </t>
  </si>
  <si>
    <t>·  Ефективність дії системи виходу інформації на різні рівні управління.</t>
  </si>
  <si>
    <t>·  Стан використання різних форм і методів контролю за функціонуванням навчальних закладів району. Рівень здійснення контролю.</t>
  </si>
  <si>
    <t>·   Нормативність ведення книги протоколів колегії (ради).</t>
  </si>
  <si>
    <t>Вагомість критеріїв, V</t>
  </si>
  <si>
    <t>Фактори, що забезпечують відповідний стан діяльності, F</t>
  </si>
  <si>
    <t>Нормативність та своєчасність проведення вступного інструктажу (окрема сторінка журналу обліку навчальних занять «Реєстрація вступного інструктажу з безпеки життєдіяльності для вихованців, учнів»).</t>
  </si>
  <si>
    <t>Своєчасність та охайність заповнення.</t>
  </si>
  <si>
    <t>Облік та матеріали нещасних випадків</t>
  </si>
  <si>
    <t>Нормативність та своєчасність оформлення повідомлень про нещасні випадки.</t>
  </si>
  <si>
    <t>Нормативність та своєчасність оформлення актів розслідування нещасних випадків.</t>
  </si>
  <si>
    <t>Нормативність та своєчасність оформлення повідомлень про наслідки нещасних випадків.</t>
  </si>
  <si>
    <t>Наявність та інформаційна наповнюваність куточока або кабінета з предмета "Основи здоров'я", профілактики безпеки життєдіяльності та запобігання дитячого травматизму.</t>
  </si>
  <si>
    <t>Системність проведення бесід, ігор, вікторин, конкурсів творів та малюнків, виставок та інших заходів про правила поведінки в різних ситуаціях, наявність матеріалів відповідно до плану виховної роботи.</t>
  </si>
  <si>
    <t>Наявність інформації з питання охорони життя і здоров’я учнів та запобігання всім видам дитячого травматизму на сайті ЗНЗ (за напрямками), її оновлення, доповнення.</t>
  </si>
  <si>
    <t>Відображення тематики цих бесід на сторінках журналів та у щоденниках учнів (відповідність дат проведення).</t>
  </si>
  <si>
    <t>Наявність та актуальність інформації для батьків з питання експепртизи.</t>
  </si>
  <si>
    <t>Ф5=m5(V21K21+ +V22K22)</t>
  </si>
  <si>
    <t>Впорядкованість медичних карт, їх відповідність кількості учнів.</t>
  </si>
  <si>
    <t>Проведення бесід, ігор, вікторин, конкурсів творів та малюнків, виставок та інших заходів про правила поведінки в різних ситуаціях.</t>
  </si>
  <si>
    <t>Ф5=m5(V20K20+ +V21K21)</t>
  </si>
  <si>
    <t xml:space="preserve"> 2.Ознайомлення працівників школи з нормативними документами, що регулюють організацію навчання за екстернатною формою</t>
  </si>
  <si>
    <t>3.Розгляд питання організації навчання за екстернатною формою на засіданнях педагогічної ради, нарадах при директорові, засіданнях методичних об’єднань тощо</t>
  </si>
  <si>
    <t>4.Пакет документів для зарахування на навчання. Наявність: 
заяви, 
документів про наявний рівень освіти,
погодження з відповідним органом управління освіти, 
результатів флюорографічного обстеження, 
інші (копія свідоцтва про одруження тощо)</t>
  </si>
  <si>
    <t>2. Ознайомлення працівників школи з нормативними документами, що регулюють організацію індивідуального навчання</t>
  </si>
  <si>
    <t>Загальноосвітній навчальний заклад _______________________, установа___________________</t>
  </si>
  <si>
    <t xml:space="preserve"> 1.Наявність нормативно-правових та розпорядчих документів з даного питання відповідно до переліку (додається)</t>
  </si>
  <si>
    <t xml:space="preserve"> 2.Ознайомлення працівників школи з нормативними документами, що регулюють організацію навчання у пенітенціарних установах</t>
  </si>
  <si>
    <t>5.Допомога, яка здійснена закладом освіти</t>
  </si>
  <si>
    <t xml:space="preserve">Планування роботи навчального закладу щодо роботи класів на базі пенітенціарних установ </t>
  </si>
  <si>
    <t>27.Нормативність видання наказів про відрахування учнів</t>
  </si>
  <si>
    <t>Наявність нормативних та інструктивних документів щодо організації фінансово-господарської діяльності</t>
  </si>
  <si>
    <t xml:space="preserve">Наявність наказу про розподіл педагогічного навантаження </t>
  </si>
  <si>
    <t xml:space="preserve">Наявність підстав для нарахування заробітної плати: – табель обліку робочого часу – накази (зарахування, звільнення, тощо); </t>
  </si>
  <si>
    <t>Системність проведення бесід, ігор, вікторин, конкурсів творів та малюнків, виставок та інших заходів про правила поведінки в різних ситуаціях, наявність матеріалів відповідно до плану.</t>
  </si>
  <si>
    <t>Наявність інформації з питання охорони життя і здоров’я вихованців та запобігання всім видам дитячого травматизму на сайті ДНЗ (за напрямками), її оновлення, доповнення.</t>
  </si>
  <si>
    <t>Протокол 
вивчення стану управлінської діяльності щодо нормативності ведення ділової документації 
у дитячо-юнацькій спортивній школі № _____</t>
  </si>
  <si>
    <r>
      <t xml:space="preserve">Документи </t>
    </r>
    <r>
      <rPr>
        <sz val="13"/>
        <color indexed="8"/>
        <rFont val="Times New Roman"/>
        <family val="1"/>
        <charset val="204"/>
      </rPr>
      <t xml:space="preserve">поаркушно пронумеровані, прошнуровані, підписані керівником, скріплені печаткою, </t>
    </r>
    <r>
      <rPr>
        <sz val="13"/>
        <rFont val="Times New Roman"/>
        <family val="1"/>
        <charset val="204"/>
      </rPr>
      <t xml:space="preserve">дотримання терміну зберігання </t>
    </r>
  </si>
  <si>
    <t xml:space="preserve">Наявність акту прийому-передачі ділової документації при зміні керівника </t>
  </si>
  <si>
    <t>Наявність та зберігання ділової документації відповідно до наказу «Про затвердження номенклатури справ»</t>
  </si>
  <si>
    <t>Матеріали державної атестації ДЮСШ та присвоєння категорійності</t>
  </si>
  <si>
    <t>Наявність та зберігання</t>
  </si>
  <si>
    <t>Наявність свідоцтва про категорію спортшколи</t>
  </si>
  <si>
    <t xml:space="preserve">Уставна документація </t>
  </si>
  <si>
    <t>Наявність Статуту</t>
  </si>
  <si>
    <t>Юридичне оформлення Статуту відповідно до  Закону України «Про позашкільну освіту» та Положення про дитячо-юнацьку спортивну школу</t>
  </si>
  <si>
    <t xml:space="preserve">Робочий навчальний план, навчальні програми </t>
  </si>
  <si>
    <t>Нормативність складання робочого навчального плану</t>
  </si>
  <si>
    <t xml:space="preserve">Наявність  навчальних програм </t>
  </si>
  <si>
    <t>Річний план роботи ДЮСШ</t>
  </si>
  <si>
    <t>Грунтовність аналізу роботи за минулий навчальний рік</t>
  </si>
  <si>
    <t>Наявність висновків та їх якість</t>
  </si>
  <si>
    <t xml:space="preserve">Конкретність поставлених завдань перед тренерським колективом на наступний рік </t>
  </si>
  <si>
    <t>Дієвість і реальність запланованих заходів, їх спрямованість на розвиток ДЮСШ;</t>
  </si>
  <si>
    <t>Нормативність ведення обов’язкової документації</t>
  </si>
  <si>
    <t>Наявність наказів з основної діяльності</t>
  </si>
  <si>
    <t>Наявність Книги реєстрації наказів з основної діяльності</t>
  </si>
  <si>
    <t xml:space="preserve">Своєчасність доведення наказів до працівників </t>
  </si>
  <si>
    <t>Нормативність ведення Книги протоколів засідань тренерської ради</t>
  </si>
  <si>
    <t>Наявність матеріалів до проведення засідань тренерської ради;</t>
  </si>
  <si>
    <t xml:space="preserve">Наявність матеріалів нарад при директорові </t>
  </si>
  <si>
    <t>Наявність Книги обліку та видачі свідоцтв про закінчення навчання</t>
  </si>
  <si>
    <t xml:space="preserve">Наявність календаря спортивно-масових заходів </t>
  </si>
  <si>
    <t>Наявність Книги руху вихованців ДЮСШ</t>
  </si>
  <si>
    <t>Нормативність збереження статистичної звітності</t>
  </si>
  <si>
    <t>Матеріали державної підсумкової атестації</t>
  </si>
  <si>
    <t>Оцінка</t>
  </si>
  <si>
    <t>Нормативність ведення документів</t>
  </si>
  <si>
    <t xml:space="preserve">Установча документація </t>
  </si>
  <si>
    <t>Відповідність Статуту сучасним вимогам;</t>
  </si>
  <si>
    <t>Затвердження в установленому порядку;</t>
  </si>
  <si>
    <t>Якість обґрунтування поставлених завдань на наступний рік;</t>
  </si>
  <si>
    <t>Наявність позначок про виконання</t>
  </si>
  <si>
    <t>Нормативність ведення Книги обліку вхідних та вихідних документів;</t>
  </si>
  <si>
    <t>Наявність, зберігання і використання вхідних та вихідних документів;</t>
  </si>
  <si>
    <t>Своєчасність видання та дієвість ініціативних та організаційних наказів;</t>
  </si>
  <si>
    <t>Нормативність ведення обов’язкових протоколів ділової документації</t>
  </si>
  <si>
    <t>Наявність матеріалів до проведення батьківських зборів;</t>
  </si>
  <si>
    <t>Документування управлінської інформації</t>
  </si>
  <si>
    <t>Організація документообігу та виконання документів</t>
  </si>
  <si>
    <t>Систематизація та зберігання документів у діловодстві</t>
  </si>
  <si>
    <t>Порядок підготовки справ до передачі для архівного зберігання</t>
  </si>
  <si>
    <t>Оптимальність визначення строків; зазначення відповідальних; доведення змісту наказу до відома відповідальних осіб із підписом про ознайомлення.</t>
  </si>
  <si>
    <t>Оптимальність розподілу посадових обов’язків між працівниками управління освіти</t>
  </si>
  <si>
    <t>Упорядкованість наявних атестаційних матеріалів (перелік матеріалів, прошиті, скріплені печаткою); накази про організацію проведення та підсумок атестації; самоаналіз; витяги з протоколів засідання педради, на яких оприлюднено результати самоаналізу та результати атестації; матеріали роботи районної (або обласної) експертної комісії; наявність свідоцтва (для атестованих до 2012 р. - висновку РЕР) про атестацію; оголошення про атестацію закладу; заходи щодо усунення виявлених недоліків; довідка про роботу щодо усунення виявлених недоліків.</t>
  </si>
  <si>
    <t>Контрольно-аналітична діяльність</t>
  </si>
  <si>
    <t xml:space="preserve">Положення про управління освіти </t>
  </si>
  <si>
    <t>Встановлення субординаційних зв’язків та режиму роботи працівників управління освіти</t>
  </si>
  <si>
    <t>Інформаційне забезпечення управління навчальними закладами району</t>
  </si>
  <si>
    <t>Планування роботи управління освіти</t>
  </si>
  <si>
    <t>Створення системи контролю та аналізу всіх напрямків роботи управління освіти</t>
  </si>
  <si>
    <t>Створення системи органів управління навчальними закладами району, їх діяльність</t>
  </si>
  <si>
    <t>Координація роботи навчальних закладів з органами місцевого самоврядування та територіальними службами</t>
  </si>
  <si>
    <t>·     Наявність при управлінні колегії (ради); виконання нею управлінських обов’язків відповідно до розподілу, зафіксованого у Положенні про управління освіти.</t>
  </si>
  <si>
    <t xml:space="preserve">·   Нормативність ведення книг наказів. </t>
  </si>
  <si>
    <r>
      <t>·</t>
    </r>
    <r>
      <rPr>
        <sz val="12"/>
        <color indexed="8"/>
        <rFont val="Times New Roman"/>
        <family val="1"/>
        <charset val="204"/>
      </rPr>
      <t>  Наявність усіх планів, передбачених вимогами Міністерства освіти і науки, молоді та спорту України. Системність планування.</t>
    </r>
  </si>
  <si>
    <t xml:space="preserve">Забезпечення дотримання положень нормативних та локальних документів з трудового законодавства </t>
  </si>
  <si>
    <t xml:space="preserve">Книга обліку трудових книжок. Трудові книжки працівників
- нормативність ведення записів, їх відповідність наказам
- відповідність кількості трудових книжок кількості працівників
</t>
  </si>
  <si>
    <t>Накази з кадрових питань
Книга реєстрації наказів з кадрових питань
- нормативність ведення (прошита, пронумерована,скріплена печаткою),
- наявність підписів про ознайомлення з наказами,
- своєчасність видання наказів,
- відповідність номера наказу номеру у книзі реєстрації,
- виконання Інструкції про ведення ділової документації...,
- нормативність видання наказів про призначення (дотримання номенклатури посад), про звільнення (вказання причини звільнення, посилання на відповідні статті КЗпП),
- про роботу за сумісництвом та встановлення доплат за суміщення посад та інше.</t>
  </si>
  <si>
    <t>Дотримання вимог Закону України «Про відпустки»
наявність своєчасно /січень/ затвердженого і погодженого з профкомом графіка відпусток працівників у поточному календарному році, доведення його до всіх працівників,
забезпечення права працівників на повну щорічну основну відпустку через 6 міс. після прийняття на роботу,
забезпечення права педпрацівників на повну щорічну основну відпустку у літній період до 6 міс. після прийняття на роботу,
повідомлення працівників про конкретний період відпустки за 2 тижні,
нормативність надання додаткових, соціальних та відпусток без збереження заробітної плати</t>
  </si>
  <si>
    <t xml:space="preserve">Положення про преміювання, Положення про надання щорічної грошової винагороди педагогічним працівникам
- наявність параметрів якісного виконання посадових обов’язків та результативності роботи всіх працівників закладу;
- врахування вимог Положення при виданні наказів про преміювання
</t>
  </si>
  <si>
    <t>№ з/п</t>
  </si>
  <si>
    <t>Річний план роботи закладу.</t>
  </si>
  <si>
    <t>Нормативність виконання навчальним закладом «Інструкції з обліку дітей і підлітків шкільного віку»</t>
  </si>
  <si>
    <t>Особові справи учнів</t>
  </si>
  <si>
    <t>10. </t>
  </si>
  <si>
    <t>11. </t>
  </si>
  <si>
    <t>12. </t>
  </si>
  <si>
    <t>13. </t>
  </si>
  <si>
    <t>Класні журнали, журнали груп продовженого дня, обліку роботи гуртків, факультативів, секцій тощо</t>
  </si>
  <si>
    <t>Загальна оцінка</t>
  </si>
  <si>
    <t>Рівень</t>
  </si>
  <si>
    <t>Матеріали атестації навчального закладу</t>
  </si>
  <si>
    <t>ПРОТОКОЛ</t>
  </si>
  <si>
    <t>вивчення стану управлінської діяльності в загальноосвітньому навчальному закладі з питань охорони життя і здоров’я учнів та запобігання всім видам дитячого травматизму</t>
  </si>
  <si>
    <t>ЗНЗ № ______</t>
  </si>
  <si>
    <t>П.І.Б керівника __________________________________________________________</t>
  </si>
  <si>
    <t>№                         з/п</t>
  </si>
  <si>
    <t>Вагомість, m</t>
  </si>
  <si>
    <t>Критерії оцінювання</t>
  </si>
  <si>
    <t>Ступінь прояву, K</t>
  </si>
  <si>
    <t>І.</t>
  </si>
  <si>
    <t>Нормативно-правові аспекти.</t>
  </si>
  <si>
    <t>Наявність нормативних документів з питань охорони життя і здоров’я вихованців, запобігання усім видам дитячого травматизму.</t>
  </si>
  <si>
    <t>Рівень систематизації матеріалів.</t>
  </si>
  <si>
    <t>Системність ознайомлення працівників ДНЗ з нормативними документами, що регламентують роботу із зазначеного питання.</t>
  </si>
  <si>
    <t>ІІ.</t>
  </si>
  <si>
    <t>Наявність розділу з питань охорони життя і здоров’я вихованців, запобігання усім видам дитячого травматизму.</t>
  </si>
  <si>
    <t xml:space="preserve">Ґрунтовність аналізу роботи з питань експертизи за минулий навчальний рік. </t>
  </si>
  <si>
    <t>Планування роботи на наступний навчальний рік.</t>
  </si>
  <si>
    <t>Врахування вимог нормативних документів.</t>
  </si>
  <si>
    <t>Стан рганізації роботи навчального закладу щодо профілактики різних видів захворювання.</t>
  </si>
  <si>
    <t>Конкретність поставлених перед педагогічним колективом завдань.</t>
  </si>
  <si>
    <t>Оптимальність визначення строків.</t>
  </si>
  <si>
    <t>Зазначення відповідальних.</t>
  </si>
  <si>
    <t>Наявність позначок про виконання.</t>
  </si>
  <si>
    <t>Наявність відміток про зберігання матеріалів у номенклатурі справ.</t>
  </si>
  <si>
    <t>ІІІ.</t>
  </si>
  <si>
    <t>Своєчасність видання наказів «Про організацію роботи щодо запобігання всім видам дитячого травматизму», «Про підсумки роботи закладу щодо запобігання всім видам дитячого травматизму», «Про затвердження складу комісії з розслідування нещасних випадків з дітьми» (якщо такі виявлені), «Про організацію екскурсії з дітьми» (якщо такі є за планом).</t>
  </si>
  <si>
    <t>Впорядкованість нормативної бази, посилання на накази УО та ДО ХМР.</t>
  </si>
  <si>
    <t>IV.</t>
  </si>
  <si>
    <t>Рівень організації контролю за виконанням прийнятих рішень.</t>
  </si>
  <si>
    <t>Оптимальність визначених строків.</t>
  </si>
  <si>
    <t>V.</t>
  </si>
  <si>
    <t>Журнали інструктажів.</t>
  </si>
  <si>
    <t>Нормативність ведення журналів інструктажів.</t>
  </si>
  <si>
    <t>Своєчасність проведення інструктажів.</t>
  </si>
  <si>
    <t>Інструктаж з питань охорони праці.</t>
  </si>
  <si>
    <t>Нормативність та своєчасність проведення вступного інструктажу (на окремій сторінці журналу обліку навчальних (навчально-виробничих) занять).</t>
  </si>
  <si>
    <t>Нормативність та своєчасність проведення первинного, позапланового, цільового інструктажів (в Журналі реєстрації інструктажів з питань охорони праці на робочому місці).</t>
  </si>
  <si>
    <t>VI.</t>
  </si>
  <si>
    <t>Інструктаж з безпеки життєдіяльності.</t>
  </si>
  <si>
    <t>Нормативність та своєчасність проведення первинного інструктажу, який проводиться перед початком кожного практичного заняття (на сторінці журналу обліку навчальних занять, в розділі про запис змісту уроку чи заняття).</t>
  </si>
  <si>
    <t>Нормативність та своєчасність проведення первинного, позапланового, цільового інструктажів (у Журналі реєстрації первинного, позапланового, цільового інструктажів вихованців, учнів, студентів, курсантів, слухачів з безпеки життєдіяльності).</t>
  </si>
  <si>
    <t>VІІ.</t>
  </si>
  <si>
    <t>«Журнал реєстрації нещасних випадків, що сталися з вихованцями, учнями, студентами, курсантами, слухачами, аспірантами»</t>
  </si>
  <si>
    <t>Нормативність ведення «Журналу…».</t>
  </si>
  <si>
    <t>Відповідність кількості зареєстрованих нещасних випадків квартальним звітам.</t>
  </si>
  <si>
    <t>VІІІ.</t>
  </si>
  <si>
    <t>Облік та матеріали  нещасних випадків</t>
  </si>
  <si>
    <t>Нормативність та своєчасність  оформлення повідомлень про нещасні випадки.</t>
  </si>
  <si>
    <t>Нормативність та своєчасність  оформлення актів розслідування нещасних випадків.</t>
  </si>
  <si>
    <t>Нормативність та своєчасність  оформлення повідомлень про наслідки нещасних випадків.</t>
  </si>
  <si>
    <t>Наявність статистичних звітів про кількість травмованих дітей під час навчально-виховного процесу, їх достовірність.</t>
  </si>
  <si>
    <t>Наявність статистичних звітів про кількість травмованих дітей у позаурочний час, їх достовірність.</t>
  </si>
  <si>
    <t>Кількість нещасних випадків під час НВП за минулий рік (в динаміці).</t>
  </si>
  <si>
    <t>ІХ.</t>
  </si>
  <si>
    <t>Медичний кабінет.</t>
  </si>
  <si>
    <t>Наявність медичного кабінету та відповідність його обладнання нормативним вимогам.</t>
  </si>
  <si>
    <t>Кадрова забезпеченість медичним персоналом (медична сестра, лікар).</t>
  </si>
  <si>
    <t>Наявність та укомплектованість аптечок першої невідкладної допомоги.</t>
  </si>
  <si>
    <t>Х.</t>
  </si>
  <si>
    <t>Стан матеріально-технічної бази ПНЗ щодо запобігання всім видам дитячого травматизму.</t>
  </si>
  <si>
    <t>Наявність та обладнання майданчика чи куточка з Правил дорожнього руху.</t>
  </si>
  <si>
    <t>Забезпеченість наочністю.</t>
  </si>
  <si>
    <t>Забезпеченість посібниками, методичною літературою.</t>
  </si>
  <si>
    <t>ХІ.</t>
  </si>
  <si>
    <t>Навчально-виховний процес.</t>
  </si>
  <si>
    <t>Наявність та відображення тематики бесід з питань безпечної поведінки, збереження життя та здоров’я у планах виховної роботи класних керівників.</t>
  </si>
  <si>
    <t>Стан організації чергування по школі.</t>
  </si>
  <si>
    <t>Наявність правил з техніки безпеки в кабінетах інформатики, спортивній залі, майстернях, тощо.</t>
  </si>
  <si>
    <t>Стан організації роботи із запобігання усім видам дитячого травматизму у ГПД.</t>
  </si>
  <si>
    <t>Наявність і упорядкованість списків дітей, яким виповнилося на 1 вересня 6-18 років (за кожним роком народження окремо) і які мешкають на закріпленій за навчальним закладом території, наданих до 25 серпня управлінням освіти адміністрації району Харківської міської ради (за формою додатка 1 до Інструкції).</t>
  </si>
  <si>
    <t>Наявність і упорядкованість списків дітей віком від 6 до 18 років та дітей, яким до 1 вересня виповнюється 5 років, з розумовими та фізичними вадами, які повинні навчатися, а також тих, які не можуть навчатися наданих до 01 вересня управлінням освіти адміністрації району Харківської міської ради (за формою додатка 2 до Інструкції).</t>
  </si>
  <si>
    <t>Наявність і упорядкованість електронної бази даних дітей віком від 6 до 18 років.</t>
  </si>
  <si>
    <t>Наявність плану-схеми закріпленої території обслуговування.</t>
  </si>
  <si>
    <t>Достовірність «Інформації про облік дітей шкільного віку за роками»; «Інформації про охоплення дітей шкільного віку навчанням»; «Обліку навчання дітей шкільного віку»; форми № 77-РВК; узгодженість між статистичними звітами.</t>
  </si>
  <si>
    <r>
      <t xml:space="preserve">Вжиті заходи щодо </t>
    </r>
    <r>
      <rPr>
        <b/>
        <sz val="12"/>
        <color indexed="8"/>
        <rFont val="Times New Roman"/>
        <family val="1"/>
        <charset val="204"/>
      </rPr>
      <t>залучення</t>
    </r>
    <r>
      <rPr>
        <sz val="12"/>
        <color indexed="8"/>
        <rFont val="Times New Roman"/>
        <family val="1"/>
        <charset val="204"/>
      </rPr>
      <t xml:space="preserve"> до навчання дітей, які не охоплені навчанням і щодо </t>
    </r>
    <r>
      <rPr>
        <b/>
        <sz val="12"/>
        <color indexed="8"/>
        <rFont val="Times New Roman"/>
        <family val="1"/>
        <charset val="204"/>
      </rPr>
      <t>повернення</t>
    </r>
    <r>
      <rPr>
        <sz val="12"/>
        <color indexed="8"/>
        <rFont val="Times New Roman"/>
        <family val="1"/>
        <charset val="204"/>
      </rPr>
      <t xml:space="preserve"> до навчання учнів, які не приступили на навчання до навчального закладу станом на 5 вересня.</t>
    </r>
  </si>
  <si>
    <t>Вжиті заходи з метою оформлення до навчання у В(З)Ш випускників 9-х класів, які навчаються в ПТНЗ, що не надають повної загальної середньої освіти.</t>
  </si>
  <si>
    <t>Нормативність оформлення книг протоколів засідань педагогічної ради та ради навчального закладу.</t>
  </si>
  <si>
    <t>Наявність протоколу про представлення до нагородження золотою і срібною медалями учнів випускних 11-х класів (спільне засідання).</t>
  </si>
  <si>
    <t>Наявність протоколу ради закладу про затвердження режиму роботи навчального закладу.</t>
  </si>
  <si>
    <t>Нормативність ведення Книги обліку і видачі свідоцтв та додатків до свідоцтв про базову загальну середню освіту; Книги обліку і видачі атестатів та додатків до атестатів про повну загальну середню освіту, Срібних і Золотих медалей; Книги обліку Похвальних листів і Похвальних грамот.</t>
  </si>
  <si>
    <t>Нормативність затвердження; відповідність затвердженому робочому навчальному плану (за предметами та за кількістю годин на тиждень).</t>
  </si>
  <si>
    <t>Нормативність ведення класних журналів: учителями-предметниками; класними керівниками.</t>
  </si>
  <si>
    <t>Стан та розміщення шкільних приміщень (навчальних кабінетів, лабораторій, класних кімнат, виробничих майстерень, приміщень для трудового навчання, медкабінету чи медблоку, актової та спортивної зали, харчоблоку, приміщень для організації продовженого дня).</t>
  </si>
  <si>
    <t>Стан обладнання меблями шкільних приміщень (навчальних кабінетів, лабораторій, класних кімнат, виробничих майстерень, обідньої зали, їдальні,медкабінету, актової та спортивної зали, спальних приміщень для першокласників).</t>
  </si>
  <si>
    <t>Стан гігієнічного навчання та виховання учнів.</t>
  </si>
  <si>
    <t>Виконання інваріантної та варіативної складових (довідка та наказ по школі, класні журнали).</t>
  </si>
  <si>
    <t>Наявність та оптимальність заходів щодо завершення навчального року.</t>
  </si>
  <si>
    <t>Нормативність видання наказів про виконання навчальних програм за навчальний рік.</t>
  </si>
  <si>
    <t>Нормативність видання наказу про запобігання всім видам дитячого травматизму серед учнів під час навчальних екскурсій, державної підсумкової атестації, навчальної практики та канікул у літній період.</t>
  </si>
  <si>
    <t>Нормативність видання наказів про проведення навчально-польових зборів учнів 11-х класів; про організацію навчальної практики та навчальних екскурсій; про проведення державної підсумкової атестації у 4-х класах, випускних 9-х і 11-х класах; про звільнення від державної підсумкової атестації учнів через стан здоров‘я; про нагородження учнів золотою та срібною медалями, Похвальними листами, Похвальними грамотами; про додаткову атестацію учнів, які з будь-яких причин не мають річної атестації.</t>
  </si>
  <si>
    <t>Оптимальність визначення строків; зазначення відповідальних; доведення змісту наказів до відома відповідальних осіб із підписом про ознайомлення.</t>
  </si>
  <si>
    <t>Наявність та нормативність протоколу про переведення і випуск учнів (про випуск учнів, які знаходились у лікувальному закладі, в якому і навчались (лікарня, санаторій) – на основі табеля успішності).</t>
  </si>
  <si>
    <t>Наявність протоколів педради і ради навчального закладу про погодження проекту робочого навчального плану.</t>
  </si>
  <si>
    <t>Наявність та нормативність протоколу педради про заміну одного з екзаменів за вибором екзаменом з профільного предмета (у спеціалізованих середніх школах з поглибленим вивченням іноземної мови, класах з поглибленим вивченням предметів та профільним навчанням).</t>
  </si>
  <si>
    <t>Наявність та нормативність протоколу ради закладу про нагородження учнів перевідних класів.</t>
  </si>
  <si>
    <t>Наявність та нормативність протоколу педради про додаткову атестацію учнів, які з будь-яких причин не мають річної атестації.</t>
  </si>
  <si>
    <t>Нормативність ведення книг.</t>
  </si>
  <si>
    <t>Правильність та відповідність перенесення оцінок у відповідні Книги.</t>
  </si>
  <si>
    <t>Нормативність обліку використання різних бланків.</t>
  </si>
  <si>
    <t>Відповідність списків нагороджених похвальними листами та грамотами учнів у книгах обліку спискам у протоколах педради, ради закладу та наказу по школі.</t>
  </si>
  <si>
    <t>Нормативність та об'єктивність тематичного, семестрового, річного, підсумкового оцінювання учнів.</t>
  </si>
  <si>
    <t>Здійснення контролю з боку адміністрації закладу за веденням журналів виконанням навчального плану та програм.</t>
  </si>
  <si>
    <t>Ґрунтовність довідок за наслідками вивчення стану викладання предмета «Основи здоров’я».</t>
  </si>
  <si>
    <t>Впорядкованість медичних карт, їх відповідність кількості вихованців.</t>
  </si>
  <si>
    <t>Здійснення контролю за диспансерним обстеженням вихованців (не менше двох разів на рік), моніторинг стану здоров’я вихованців.</t>
  </si>
  <si>
    <t>вивчення стану управлінської діяльності в в управлінні освіти
адміністрації _____________________ району Харківської міської ради
 з питань охорони життя і здоров’я учнів та запобігання всім видам дитячого травматизму</t>
  </si>
  <si>
    <t>Системність ознайомлення керівників навчальних закладів з нормативними документами, що регламентують роботу із зазначеного питання.</t>
  </si>
  <si>
    <t>Річний план роботи управління освіти.</t>
  </si>
  <si>
    <t>Стан рганізації роботи управління освіти щодо профілактики різних видів захворювання.</t>
  </si>
  <si>
    <t>Конкретність поставлених перед педагогічними колективами навчальних закладів завдань.</t>
  </si>
  <si>
    <t>Впорядкованість нормативної бази, посилання на накази  ДО ХМР.</t>
  </si>
  <si>
    <t>Наявність плану заходів, системність проведення бесід, ігор, вікторин, конкурсів творів та малюнків, виставок та інших заходів  про правила поведінки в різних ситуаціях, наявність матеріалів (відповідно до плану заходів).</t>
  </si>
  <si>
    <t>Укомплектованість навчальних закладів педагогічними кадрами з цього предмета (учителі працюють за фахом, чи ні).</t>
  </si>
  <si>
    <r>
      <t>Рівень контролю за станом викладання предмета «Основи здоров’я» (</t>
    </r>
    <r>
      <rPr>
        <sz val="12"/>
        <color indexed="8"/>
        <rFont val="Times New Roman"/>
        <family val="1"/>
        <charset val="204"/>
      </rPr>
      <t>грунтовність довідок за наслідками вивчення стану викладання предмета «Основи здоров’я»; аналіз навчальних досягнень учнів з предмета «Основи здоров’я» (виконання навчальних програм, якість знань учнів).</t>
    </r>
  </si>
  <si>
    <t>вивчення стану управлінської діяльності в дошкільному навчальному закладі з питань охорони життя і здоров’я вихованців та запобігання всім видам дитячого травматизму</t>
  </si>
  <si>
    <t>Впорядкованість нормативної бази, посилання на накази ДО ХМР.</t>
  </si>
  <si>
    <t>Наявність і упорядкованість списків випускників, відповідність їх кількості за мережею.</t>
  </si>
  <si>
    <t>Відсоток випускників 9-х класів, які працюють.</t>
  </si>
  <si>
    <t>F1=m1(V1K1+ +V2K2+V3K3+ +V4K4+V5K5+ +V6K6+V7K7)</t>
  </si>
  <si>
    <t>F3=m3(V12K12+ +V13K13+V14K14+ +V15K15+V16K16+ +V17K17+V18K18+ +V19K19+V20K20+ +V21K21)</t>
  </si>
  <si>
    <t>наявність індивідуальних планів роботи класних керівників та соціального педагога з дітьми зазначених категорій;</t>
  </si>
  <si>
    <t>Ведення книги наказів з основної діяльності</t>
  </si>
  <si>
    <t xml:space="preserve">Організація роботи щодо забезпечення виконання законодавства України про освіту </t>
  </si>
  <si>
    <t>Організація роботи з учнями, які перебувають на обліку</t>
  </si>
  <si>
    <t>Організація роботи Ради («опер групи», комісії, штабу) з профілактики правопорушень</t>
  </si>
  <si>
    <t>Стан психолого-педагогічного забезпечення індивідуальної роботи з учнями девіантної поведінки та учнями, схильними до скоєння правопорушень</t>
  </si>
  <si>
    <t>Стан організації правового виховання</t>
  </si>
  <si>
    <t>Рівень координованості спільних дій закладу з відділом кримінальної міліції служби у справах дітей, службою у справах дітей, наркологічною службою та іншими установами і організаціями</t>
  </si>
  <si>
    <t>Стан організації роботи з батьками</t>
  </si>
  <si>
    <t>Результативність роботи протягом навчального року з профілактики злочинності та правопорушень серед неповнолітніх</t>
  </si>
  <si>
    <t>наявність списків учнів, які перебувають на обліку:
внутрішкільному;
в службі у справах дітей;
у відділі кримінальної міліції служби у справах дітей;
 наявність бази даних учнів, які перебувають на обліку (з даними про підлітка, його сім’ю, причини постановки на облік, зняття з обліку, проведену з ним роботу, акти обстеження матеріально-побутових умов);</t>
  </si>
  <si>
    <r>
      <t>·</t>
    </r>
    <r>
      <rPr>
        <sz val="12"/>
        <color indexed="8"/>
        <rFont val="Times New Roman"/>
        <family val="1"/>
        <charset val="204"/>
      </rPr>
      <t xml:space="preserve"> Нормативність оформлення Положення про управління освіти </t>
    </r>
  </si>
  <si>
    <r>
      <t>·</t>
    </r>
    <r>
      <rPr>
        <sz val="12"/>
        <color indexed="8"/>
        <rFont val="Times New Roman"/>
        <family val="1"/>
        <charset val="204"/>
      </rPr>
      <t>  Відповідність структури управління освіти затвердженому Положенню</t>
    </r>
  </si>
  <si>
    <r>
      <t>·</t>
    </r>
    <r>
      <rPr>
        <sz val="12"/>
        <color indexed="8"/>
        <rFont val="Times New Roman"/>
        <family val="1"/>
        <charset val="204"/>
      </rPr>
      <t>  Наявність чітко розроблених та затверджених начальником управління посадових інструкцій і функціональних обов’язків, їх відповідність нормативним документам.</t>
    </r>
  </si>
  <si>
    <r>
      <t>·</t>
    </r>
    <r>
      <rPr>
        <sz val="12"/>
        <color indexed="8"/>
        <rFont val="Times New Roman"/>
        <family val="1"/>
        <charset val="204"/>
      </rPr>
      <t>   Наявність і нормативність Правил внутрішнього трудового розпорядку.</t>
    </r>
  </si>
  <si>
    <r>
      <t>·</t>
    </r>
    <r>
      <rPr>
        <sz val="12"/>
        <color indexed="8"/>
        <rFont val="Times New Roman"/>
        <family val="1"/>
        <charset val="204"/>
      </rPr>
      <t>   Наявність системи забезпечення управління навчальними закладами інформацією, її повнота.</t>
    </r>
  </si>
  <si>
    <r>
      <t>·</t>
    </r>
    <r>
      <rPr>
        <sz val="12"/>
        <color indexed="8"/>
        <rFont val="Times New Roman"/>
        <family val="1"/>
        <charset val="204"/>
      </rPr>
      <t>   Наявність системи збору, збереження і опрацювання внутрішньої інформації про роботу навчальних закладів району.</t>
    </r>
  </si>
  <si>
    <r>
      <t>·</t>
    </r>
    <r>
      <rPr>
        <sz val="12"/>
        <color indexed="8"/>
        <rFont val="Times New Roman"/>
        <family val="1"/>
        <charset val="204"/>
      </rPr>
      <t>   Сформованість системи збору зворотної інформації навчальних закладів про виконання управлінських рішень.</t>
    </r>
  </si>
  <si>
    <r>
      <t>·</t>
    </r>
    <r>
      <rPr>
        <sz val="12"/>
        <color indexed="8"/>
        <rFont val="Times New Roman"/>
        <family val="1"/>
        <charset val="204"/>
      </rPr>
      <t>   Ступінь участі усіх підрозділів управління освіти у підготовці перспективного та річного планів.</t>
    </r>
  </si>
  <si>
    <r>
      <t>·</t>
    </r>
    <r>
      <rPr>
        <sz val="12"/>
        <color indexed="8"/>
        <rFont val="Times New Roman"/>
        <family val="1"/>
        <charset val="204"/>
      </rPr>
      <t>   Нормативність та своєчасність затвердження всіх планів.</t>
    </r>
  </si>
  <si>
    <r>
      <t>·</t>
    </r>
    <r>
      <rPr>
        <sz val="12"/>
        <color indexed="8"/>
        <rFont val="Times New Roman"/>
        <family val="1"/>
        <charset val="204"/>
      </rPr>
      <t>   Змістовність річного плану роботи управління освіти. Відповідність завдань річного плану Положенню про управління освіти.</t>
    </r>
  </si>
  <si>
    <r>
      <t>·</t>
    </r>
    <r>
      <rPr>
        <sz val="12"/>
        <color indexed="8"/>
        <rFont val="Times New Roman"/>
        <family val="1"/>
        <charset val="204"/>
      </rPr>
      <t>  Відповідність усіх планів основному документу роботи управління освіти - річному плану.</t>
    </r>
  </si>
  <si>
    <r>
      <t>·</t>
    </r>
    <r>
      <rPr>
        <sz val="12"/>
        <color indexed="8"/>
        <rFont val="Times New Roman"/>
        <family val="1"/>
        <charset val="204"/>
      </rPr>
      <t>      Наявність системи контролю; охоплення нею всіх сторін діяльності управління освіти.</t>
    </r>
  </si>
  <si>
    <r>
      <t>Експертна оцінка</t>
    </r>
    <r>
      <rPr>
        <sz val="12"/>
        <color indexed="8"/>
        <rFont val="Times New Roman"/>
        <family val="1"/>
        <charset val="204"/>
      </rPr>
      <t xml:space="preserve"> (</t>
    </r>
    <r>
      <rPr>
        <b/>
        <sz val="12"/>
        <color indexed="8"/>
        <rFont val="Times New Roman"/>
        <family val="1"/>
        <charset val="204"/>
      </rPr>
      <t>К</t>
    </r>
    <r>
      <rPr>
        <b/>
        <vertAlign val="subscript"/>
        <sz val="12"/>
        <color indexed="8"/>
        <rFont val="Times New Roman"/>
        <family val="1"/>
        <charset val="204"/>
      </rPr>
      <t>n</t>
    </r>
    <r>
      <rPr>
        <sz val="12"/>
        <color indexed="8"/>
        <rFont val="Times New Roman"/>
        <family val="1"/>
        <charset val="204"/>
      </rPr>
      <t>) за кожним питанням експертизи</t>
    </r>
    <r>
      <rPr>
        <b/>
        <vertAlign val="subscript"/>
        <sz val="12"/>
        <color indexed="8"/>
        <rFont val="Times New Roman"/>
        <family val="1"/>
        <charset val="204"/>
      </rPr>
      <t xml:space="preserve"> </t>
    </r>
    <r>
      <rPr>
        <sz val="12"/>
        <color indexed="8"/>
        <rFont val="Times New Roman"/>
        <family val="1"/>
        <charset val="204"/>
      </rPr>
      <t>виставляється залежно від ступеня реалізації показника:</t>
    </r>
  </si>
  <si>
    <r>
      <t>К</t>
    </r>
    <r>
      <rPr>
        <b/>
        <vertAlign val="subscript"/>
        <sz val="12"/>
        <color indexed="8"/>
        <rFont val="Times New Roman"/>
        <family val="1"/>
        <charset val="204"/>
      </rPr>
      <t>n</t>
    </r>
    <r>
      <rPr>
        <b/>
        <sz val="12"/>
        <color indexed="8"/>
        <rFont val="Times New Roman"/>
        <family val="1"/>
        <charset val="204"/>
      </rPr>
      <t xml:space="preserve">= 0 </t>
    </r>
    <r>
      <rPr>
        <sz val="12"/>
        <color indexed="8"/>
        <rFont val="Times New Roman"/>
        <family val="1"/>
        <charset val="204"/>
      </rPr>
      <t>– показник відсутній;</t>
    </r>
  </si>
  <si>
    <r>
      <t>К</t>
    </r>
    <r>
      <rPr>
        <b/>
        <vertAlign val="subscript"/>
        <sz val="12"/>
        <color indexed="8"/>
        <rFont val="Times New Roman"/>
        <family val="1"/>
        <charset val="204"/>
      </rPr>
      <t xml:space="preserve">n </t>
    </r>
    <r>
      <rPr>
        <b/>
        <sz val="12"/>
        <color indexed="8"/>
        <rFont val="Times New Roman"/>
        <family val="1"/>
        <charset val="204"/>
      </rPr>
      <t xml:space="preserve">= 0,25 </t>
    </r>
    <r>
      <rPr>
        <sz val="12"/>
        <color indexed="8"/>
        <rFont val="Times New Roman"/>
        <family val="1"/>
        <charset val="204"/>
      </rPr>
      <t>– показник проявляється рідко;</t>
    </r>
  </si>
  <si>
    <r>
      <t>К</t>
    </r>
    <r>
      <rPr>
        <b/>
        <vertAlign val="subscript"/>
        <sz val="12"/>
        <color indexed="8"/>
        <rFont val="Times New Roman"/>
        <family val="1"/>
        <charset val="204"/>
      </rPr>
      <t xml:space="preserve">n </t>
    </r>
    <r>
      <rPr>
        <b/>
        <sz val="12"/>
        <color indexed="8"/>
        <rFont val="Times New Roman"/>
        <family val="1"/>
        <charset val="204"/>
      </rPr>
      <t xml:space="preserve">= 0,5 </t>
    </r>
    <r>
      <rPr>
        <sz val="12"/>
        <color indexed="8"/>
        <rFont val="Times New Roman"/>
        <family val="1"/>
        <charset val="204"/>
      </rPr>
      <t>– показник недостатньо виражений;</t>
    </r>
  </si>
  <si>
    <r>
      <t>К</t>
    </r>
    <r>
      <rPr>
        <b/>
        <vertAlign val="subscript"/>
        <sz val="12"/>
        <color indexed="8"/>
        <rFont val="Times New Roman"/>
        <family val="1"/>
        <charset val="204"/>
      </rPr>
      <t xml:space="preserve">n </t>
    </r>
    <r>
      <rPr>
        <b/>
        <sz val="12"/>
        <color indexed="8"/>
        <rFont val="Times New Roman"/>
        <family val="1"/>
        <charset val="204"/>
      </rPr>
      <t xml:space="preserve">= 0,75 </t>
    </r>
    <r>
      <rPr>
        <sz val="12"/>
        <color indexed="8"/>
        <rFont val="Times New Roman"/>
        <family val="1"/>
        <charset val="204"/>
      </rPr>
      <t>– показник проявляється часто і достатньо виражений;</t>
    </r>
  </si>
  <si>
    <r>
      <t>К</t>
    </r>
    <r>
      <rPr>
        <b/>
        <vertAlign val="subscript"/>
        <sz val="12"/>
        <color indexed="8"/>
        <rFont val="Times New Roman"/>
        <family val="1"/>
        <charset val="204"/>
      </rPr>
      <t xml:space="preserve">n </t>
    </r>
    <r>
      <rPr>
        <b/>
        <sz val="12"/>
        <color indexed="8"/>
        <rFont val="Times New Roman"/>
        <family val="1"/>
        <charset val="204"/>
      </rPr>
      <t xml:space="preserve">= 1 </t>
    </r>
    <r>
      <rPr>
        <sz val="12"/>
        <color indexed="8"/>
        <rFont val="Times New Roman"/>
        <family val="1"/>
        <charset val="204"/>
      </rPr>
      <t>– показник проявляється і виражений оптимально.</t>
    </r>
  </si>
  <si>
    <r>
      <t>Загальний рівень діяльності: F=F</t>
    </r>
    <r>
      <rPr>
        <b/>
        <vertAlign val="subscript"/>
        <sz val="12"/>
        <color indexed="8"/>
        <rFont val="Times New Roman"/>
        <family val="1"/>
        <charset val="204"/>
      </rPr>
      <t>1</t>
    </r>
    <r>
      <rPr>
        <b/>
        <sz val="12"/>
        <color indexed="8"/>
        <rFont val="Times New Roman"/>
        <family val="1"/>
        <charset val="204"/>
      </rPr>
      <t>+ F</t>
    </r>
    <r>
      <rPr>
        <b/>
        <vertAlign val="subscript"/>
        <sz val="12"/>
        <color indexed="8"/>
        <rFont val="Times New Roman"/>
        <family val="1"/>
        <charset val="204"/>
      </rPr>
      <t xml:space="preserve"> 2</t>
    </r>
    <r>
      <rPr>
        <b/>
        <sz val="12"/>
        <color indexed="8"/>
        <rFont val="Times New Roman"/>
        <family val="1"/>
        <charset val="204"/>
      </rPr>
      <t>+ F</t>
    </r>
    <r>
      <rPr>
        <b/>
        <vertAlign val="subscript"/>
        <sz val="12"/>
        <color indexed="8"/>
        <rFont val="Times New Roman"/>
        <family val="1"/>
        <charset val="204"/>
      </rPr>
      <t xml:space="preserve"> 3</t>
    </r>
    <r>
      <rPr>
        <b/>
        <sz val="12"/>
        <color indexed="8"/>
        <rFont val="Times New Roman"/>
        <family val="1"/>
        <charset val="204"/>
      </rPr>
      <t>+ F</t>
    </r>
    <r>
      <rPr>
        <b/>
        <vertAlign val="subscript"/>
        <sz val="12"/>
        <color indexed="8"/>
        <rFont val="Times New Roman"/>
        <family val="1"/>
        <charset val="204"/>
      </rPr>
      <t>4</t>
    </r>
    <r>
      <rPr>
        <b/>
        <sz val="12"/>
        <color indexed="8"/>
        <rFont val="Times New Roman"/>
        <family val="1"/>
        <charset val="204"/>
      </rPr>
      <t>….</t>
    </r>
  </si>
  <si>
    <r>
      <t xml:space="preserve">Відповідно до отриманих результатів </t>
    </r>
    <r>
      <rPr>
        <b/>
        <sz val="12"/>
        <color indexed="8"/>
        <rFont val="Times New Roman"/>
        <family val="1"/>
        <charset val="204"/>
      </rPr>
      <t>визначається рівень</t>
    </r>
    <r>
      <rPr>
        <sz val="12"/>
        <color indexed="8"/>
        <rFont val="Times New Roman"/>
        <family val="1"/>
        <charset val="204"/>
      </rPr>
      <t xml:space="preserve"> управлінської діяльності:</t>
    </r>
  </si>
  <si>
    <r>
      <t xml:space="preserve">0 &lt; F ≤ 0,5 </t>
    </r>
    <r>
      <rPr>
        <sz val="12"/>
        <color indexed="8"/>
        <rFont val="Times New Roman"/>
        <family val="1"/>
        <charset val="204"/>
      </rPr>
      <t>– рівень низький;</t>
    </r>
  </si>
  <si>
    <t>ознайомлення працівників школи з нормативними документами, що регулюють роботу з цього питання;</t>
  </si>
  <si>
    <t>Наявність законодавчої та нормативної бази з даного питання</t>
  </si>
  <si>
    <t>Наявність заходів УО та їх виконання</t>
  </si>
  <si>
    <t xml:space="preserve">Відображення вимог документів у:
річному плані роботі,
виступах на апаратних нарадах УО;
наказах;
на нарадах керівників закладів освіти;
на засіданнях колегії (ради) та інше
</t>
  </si>
  <si>
    <t>Виявлення та облік дітей, які потребують соціально - матеріальної підтримки (наявність бази даних)</t>
  </si>
  <si>
    <t>Дотримання нормативних вимог у вирішенні питань соціально-матеріальної підтримки дітей</t>
  </si>
  <si>
    <t>Своєчасність виплат за рахунок Фонду загального обов’язкового навчання (наявність наказу)</t>
  </si>
  <si>
    <t>Наявність плану проведення нарад із заступниками з виховної роботи</t>
  </si>
  <si>
    <t>Наявність матеріалів нарад із заступниками з виховної роботи</t>
  </si>
  <si>
    <t>Інші форми роботи з заступниками з виховної роботи</t>
  </si>
  <si>
    <t>Наявність плану проведення нарад з соціальними педагогами, організація роботи районного МО соціальних педагогів</t>
  </si>
  <si>
    <t>Наявність матеріалів роботи з соціальними педагогами</t>
  </si>
  <si>
    <t>Інші форми роботи з соціальними педагогами.</t>
  </si>
  <si>
    <t>Здійснення контролю за виконанням та доручень нарад</t>
  </si>
  <si>
    <t>Наявність нормативної бази</t>
  </si>
  <si>
    <t>Наявність та виконання заходів УО з попередження правопорушень учнями закладів освіти району</t>
  </si>
  <si>
    <t xml:space="preserve">Відображення вимог документів у документації:
річному плані роботі;
виступах на апаратних нарадах УО;
наказах;
нарадах керівників закладів освіти;
засіданнях колегії та інше
</t>
  </si>
  <si>
    <t>Наявність обліку скоєння учнями злочинів</t>
  </si>
  <si>
    <t>Наявність обліку скоєння учнями правопорушень</t>
  </si>
  <si>
    <t>Наявність інформації про дітей з девіантною поведінкою, з сімей, в яких не забезпечуються необхідні умови утримання й виховання</t>
  </si>
  <si>
    <t>Результати аналізу та узагальнення отриманої інформації</t>
  </si>
  <si>
    <t>Методичне та інформаційне забезпечення виховної профілактичної роботи (ознайомлення з нормативними документами тощо)</t>
  </si>
  <si>
    <t>Координація спільних дій УО, ВКМСД, ССД, наркологічної служби та інших установ і організацій (план спільних дій (заходів), виступи на нарадах в УО листування тощо).</t>
  </si>
  <si>
    <t xml:space="preserve">Стан виконання державних та регіональних програм з охорони прав та соціального захисту дітей </t>
  </si>
  <si>
    <t>Стан виконання державних та регіональних програм з профілактики злочинності та інших негативних проявів у дитячому підлітковому середовищі</t>
  </si>
  <si>
    <t>Система роботи з виконання вимог щодо організації роботи з профілактики негативних проявів в учнівському середовищі</t>
  </si>
  <si>
    <t xml:space="preserve">Ступінь прояву, К </t>
  </si>
  <si>
    <t>1.     </t>
  </si>
  <si>
    <t>2.     </t>
  </si>
  <si>
    <t>3.     </t>
  </si>
  <si>
    <t>4.     </t>
  </si>
  <si>
    <t>5.     </t>
  </si>
  <si>
    <t>6.     </t>
  </si>
  <si>
    <t>Загальноосвітній навчальний заклад _____________</t>
  </si>
  <si>
    <t>П.І.Б керівника __________________________________________</t>
  </si>
  <si>
    <t>Вагомість, V</t>
  </si>
  <si>
    <t>І</t>
  </si>
  <si>
    <t xml:space="preserve">Система роботи з виконання вимог законодавчої та нормативної бази з даного питання </t>
  </si>
  <si>
    <t>1.Наявність нормативних документів з даного питання відповідно до переліку (додається)</t>
  </si>
  <si>
    <t>ІІ</t>
  </si>
  <si>
    <t xml:space="preserve">Організаційні засади </t>
  </si>
  <si>
    <t>5.Куточок учня-екстерна: 
наявність, 
змістовність</t>
  </si>
  <si>
    <t>6.Установчі збори: 
наявність протоколу, 
наявність підписів учнів-екстернів про ознайомлення з нормативно-правовою документацією</t>
  </si>
  <si>
    <t>7.Наявність реєстрації подання до РУО у книзі вихідного листування</t>
  </si>
  <si>
    <t>8.Книга обліку руху учнів: 
нормативність ведення наказів про зарахування та відрахування учнів-екстернів,
наявність наказів про випуск учнів 9, 11 класів і видачу документів про освіту</t>
  </si>
  <si>
    <r>
      <t>F</t>
    </r>
    <r>
      <rPr>
        <vertAlign val="subscript"/>
        <sz val="12"/>
        <color indexed="8"/>
        <rFont val="Times New Roman"/>
        <family val="1"/>
        <charset val="204"/>
      </rPr>
      <t>8</t>
    </r>
    <r>
      <rPr>
        <sz val="12"/>
        <color indexed="8"/>
        <rFont val="Times New Roman"/>
        <family val="1"/>
        <charset val="204"/>
      </rPr>
      <t>=m</t>
    </r>
    <r>
      <rPr>
        <vertAlign val="subscript"/>
        <sz val="12"/>
        <color indexed="8"/>
        <rFont val="Times New Roman"/>
        <family val="1"/>
        <charset val="204"/>
      </rPr>
      <t>8</t>
    </r>
    <r>
      <rPr>
        <sz val="12"/>
        <color indexed="8"/>
        <rFont val="Times New Roman"/>
        <family val="1"/>
        <charset val="204"/>
      </rPr>
      <t>(V</t>
    </r>
    <r>
      <rPr>
        <vertAlign val="subscript"/>
        <sz val="12"/>
        <color indexed="8"/>
        <rFont val="Times New Roman"/>
        <family val="1"/>
        <charset val="204"/>
      </rPr>
      <t>28</t>
    </r>
    <r>
      <rPr>
        <sz val="12"/>
        <color indexed="8"/>
        <rFont val="Times New Roman"/>
        <family val="1"/>
        <charset val="204"/>
      </rPr>
      <t>K</t>
    </r>
    <r>
      <rPr>
        <vertAlign val="subscript"/>
        <sz val="12"/>
        <color indexed="8"/>
        <rFont val="Times New Roman"/>
        <family val="1"/>
        <charset val="204"/>
      </rPr>
      <t>28</t>
    </r>
    <r>
      <rPr>
        <sz val="12"/>
        <color indexed="8"/>
        <rFont val="Times New Roman"/>
        <family val="1"/>
        <charset val="204"/>
      </rPr>
      <t>+ +V</t>
    </r>
    <r>
      <rPr>
        <vertAlign val="subscript"/>
        <sz val="12"/>
        <color indexed="8"/>
        <rFont val="Times New Roman"/>
        <family val="1"/>
        <charset val="204"/>
      </rPr>
      <t>29</t>
    </r>
    <r>
      <rPr>
        <sz val="12"/>
        <color indexed="8"/>
        <rFont val="Times New Roman"/>
        <family val="1"/>
        <charset val="204"/>
      </rPr>
      <t>K</t>
    </r>
    <r>
      <rPr>
        <vertAlign val="subscript"/>
        <sz val="12"/>
        <color indexed="8"/>
        <rFont val="Times New Roman"/>
        <family val="1"/>
        <charset val="204"/>
      </rPr>
      <t>29</t>
    </r>
    <r>
      <rPr>
        <sz val="12"/>
        <color indexed="8"/>
        <rFont val="Times New Roman"/>
        <family val="1"/>
        <charset val="204"/>
      </rPr>
      <t>+V</t>
    </r>
    <r>
      <rPr>
        <vertAlign val="subscript"/>
        <sz val="12"/>
        <color indexed="8"/>
        <rFont val="Times New Roman"/>
        <family val="1"/>
        <charset val="204"/>
      </rPr>
      <t>30</t>
    </r>
    <r>
      <rPr>
        <sz val="12"/>
        <color indexed="8"/>
        <rFont val="Times New Roman"/>
        <family val="1"/>
        <charset val="204"/>
      </rPr>
      <t>K</t>
    </r>
    <r>
      <rPr>
        <vertAlign val="subscript"/>
        <sz val="12"/>
        <color indexed="8"/>
        <rFont val="Times New Roman"/>
        <family val="1"/>
        <charset val="204"/>
      </rPr>
      <t>30</t>
    </r>
    <r>
      <rPr>
        <sz val="12"/>
        <color indexed="8"/>
        <rFont val="Times New Roman"/>
        <family val="1"/>
        <charset val="204"/>
      </rPr>
      <t>+ +V</t>
    </r>
    <r>
      <rPr>
        <vertAlign val="subscript"/>
        <sz val="12"/>
        <color indexed="8"/>
        <rFont val="Times New Roman"/>
        <family val="1"/>
        <charset val="204"/>
      </rPr>
      <t>31</t>
    </r>
    <r>
      <rPr>
        <sz val="12"/>
        <color indexed="8"/>
        <rFont val="Times New Roman"/>
        <family val="1"/>
        <charset val="204"/>
      </rPr>
      <t>K</t>
    </r>
    <r>
      <rPr>
        <vertAlign val="subscript"/>
        <sz val="12"/>
        <color indexed="8"/>
        <rFont val="Times New Roman"/>
        <family val="1"/>
        <charset val="204"/>
      </rPr>
      <t>31</t>
    </r>
    <r>
      <rPr>
        <sz val="12"/>
        <color indexed="8"/>
        <rFont val="Times New Roman"/>
        <family val="1"/>
        <charset val="204"/>
      </rPr>
      <t>+V</t>
    </r>
    <r>
      <rPr>
        <vertAlign val="subscript"/>
        <sz val="12"/>
        <color indexed="8"/>
        <rFont val="Times New Roman"/>
        <family val="1"/>
        <charset val="204"/>
      </rPr>
      <t>32</t>
    </r>
    <r>
      <rPr>
        <sz val="12"/>
        <color indexed="8"/>
        <rFont val="Times New Roman"/>
        <family val="1"/>
        <charset val="204"/>
      </rPr>
      <t>K</t>
    </r>
    <r>
      <rPr>
        <vertAlign val="subscript"/>
        <sz val="12"/>
        <color indexed="8"/>
        <rFont val="Times New Roman"/>
        <family val="1"/>
        <charset val="204"/>
      </rPr>
      <t>32</t>
    </r>
    <r>
      <rPr>
        <sz val="12"/>
        <color indexed="8"/>
        <rFont val="Times New Roman"/>
        <family val="1"/>
        <charset val="204"/>
      </rPr>
      <t>)</t>
    </r>
  </si>
  <si>
    <r>
      <t>F</t>
    </r>
    <r>
      <rPr>
        <vertAlign val="subscript"/>
        <sz val="12"/>
        <color indexed="8"/>
        <rFont val="Times New Roman"/>
        <family val="1"/>
        <charset val="204"/>
      </rPr>
      <t>9</t>
    </r>
    <r>
      <rPr>
        <sz val="12"/>
        <color indexed="8"/>
        <rFont val="Times New Roman"/>
        <family val="1"/>
        <charset val="204"/>
      </rPr>
      <t>=m</t>
    </r>
    <r>
      <rPr>
        <vertAlign val="subscript"/>
        <sz val="12"/>
        <color indexed="8"/>
        <rFont val="Times New Roman"/>
        <family val="1"/>
        <charset val="204"/>
      </rPr>
      <t>9</t>
    </r>
    <r>
      <rPr>
        <sz val="12"/>
        <color indexed="8"/>
        <rFont val="Times New Roman"/>
        <family val="1"/>
        <charset val="204"/>
      </rPr>
      <t>(V</t>
    </r>
    <r>
      <rPr>
        <vertAlign val="subscript"/>
        <sz val="12"/>
        <color indexed="8"/>
        <rFont val="Times New Roman"/>
        <family val="1"/>
        <charset val="204"/>
      </rPr>
      <t>33</t>
    </r>
    <r>
      <rPr>
        <sz val="12"/>
        <color indexed="8"/>
        <rFont val="Times New Roman"/>
        <family val="1"/>
        <charset val="204"/>
      </rPr>
      <t>K</t>
    </r>
    <r>
      <rPr>
        <vertAlign val="subscript"/>
        <sz val="12"/>
        <color indexed="8"/>
        <rFont val="Times New Roman"/>
        <family val="1"/>
        <charset val="204"/>
      </rPr>
      <t>33</t>
    </r>
    <r>
      <rPr>
        <sz val="12"/>
        <color indexed="8"/>
        <rFont val="Times New Roman"/>
        <family val="1"/>
        <charset val="204"/>
      </rPr>
      <t>+ +V</t>
    </r>
    <r>
      <rPr>
        <vertAlign val="subscript"/>
        <sz val="12"/>
        <color indexed="8"/>
        <rFont val="Times New Roman"/>
        <family val="1"/>
        <charset val="204"/>
      </rPr>
      <t>34</t>
    </r>
    <r>
      <rPr>
        <sz val="12"/>
        <color indexed="8"/>
        <rFont val="Times New Roman"/>
        <family val="1"/>
        <charset val="204"/>
      </rPr>
      <t>K</t>
    </r>
    <r>
      <rPr>
        <vertAlign val="subscript"/>
        <sz val="12"/>
        <color indexed="8"/>
        <rFont val="Times New Roman"/>
        <family val="1"/>
        <charset val="204"/>
      </rPr>
      <t>34</t>
    </r>
    <r>
      <rPr>
        <sz val="12"/>
        <color indexed="8"/>
        <rFont val="Times New Roman"/>
        <family val="1"/>
        <charset val="204"/>
      </rPr>
      <t>+V</t>
    </r>
    <r>
      <rPr>
        <vertAlign val="subscript"/>
        <sz val="12"/>
        <color indexed="8"/>
        <rFont val="Times New Roman"/>
        <family val="1"/>
        <charset val="204"/>
      </rPr>
      <t>35</t>
    </r>
    <r>
      <rPr>
        <sz val="12"/>
        <color indexed="8"/>
        <rFont val="Times New Roman"/>
        <family val="1"/>
        <charset val="204"/>
      </rPr>
      <t>K</t>
    </r>
    <r>
      <rPr>
        <vertAlign val="subscript"/>
        <sz val="12"/>
        <color indexed="8"/>
        <rFont val="Times New Roman"/>
        <family val="1"/>
        <charset val="204"/>
      </rPr>
      <t>35</t>
    </r>
    <r>
      <rPr>
        <sz val="12"/>
        <color indexed="8"/>
        <rFont val="Times New Roman"/>
        <family val="1"/>
        <charset val="204"/>
      </rPr>
      <t>+ +V</t>
    </r>
    <r>
      <rPr>
        <vertAlign val="subscript"/>
        <sz val="12"/>
        <color indexed="8"/>
        <rFont val="Times New Roman"/>
        <family val="1"/>
        <charset val="204"/>
      </rPr>
      <t>36</t>
    </r>
    <r>
      <rPr>
        <sz val="12"/>
        <color indexed="8"/>
        <rFont val="Times New Roman"/>
        <family val="1"/>
        <charset val="204"/>
      </rPr>
      <t>K</t>
    </r>
    <r>
      <rPr>
        <vertAlign val="subscript"/>
        <sz val="12"/>
        <color indexed="8"/>
        <rFont val="Times New Roman"/>
        <family val="1"/>
        <charset val="204"/>
      </rPr>
      <t>36</t>
    </r>
    <r>
      <rPr>
        <sz val="12"/>
        <color indexed="8"/>
        <rFont val="Times New Roman"/>
        <family val="1"/>
        <charset val="204"/>
      </rPr>
      <t>+V</t>
    </r>
    <r>
      <rPr>
        <vertAlign val="subscript"/>
        <sz val="12"/>
        <color indexed="8"/>
        <rFont val="Times New Roman"/>
        <family val="1"/>
        <charset val="204"/>
      </rPr>
      <t>37</t>
    </r>
    <r>
      <rPr>
        <sz val="12"/>
        <color indexed="8"/>
        <rFont val="Times New Roman"/>
        <family val="1"/>
        <charset val="204"/>
      </rPr>
      <t>K</t>
    </r>
    <r>
      <rPr>
        <vertAlign val="subscript"/>
        <sz val="12"/>
        <color indexed="8"/>
        <rFont val="Times New Roman"/>
        <family val="1"/>
        <charset val="204"/>
      </rPr>
      <t>37</t>
    </r>
    <r>
      <rPr>
        <sz val="12"/>
        <color indexed="8"/>
        <rFont val="Times New Roman"/>
        <family val="1"/>
        <charset val="204"/>
      </rPr>
      <t>+ +V</t>
    </r>
    <r>
      <rPr>
        <vertAlign val="subscript"/>
        <sz val="12"/>
        <color indexed="8"/>
        <rFont val="Times New Roman"/>
        <family val="1"/>
        <charset val="204"/>
      </rPr>
      <t>38</t>
    </r>
    <r>
      <rPr>
        <sz val="12"/>
        <color indexed="8"/>
        <rFont val="Times New Roman"/>
        <family val="1"/>
        <charset val="204"/>
      </rPr>
      <t>K</t>
    </r>
    <r>
      <rPr>
        <vertAlign val="subscript"/>
        <sz val="12"/>
        <color indexed="8"/>
        <rFont val="Times New Roman"/>
        <family val="1"/>
        <charset val="204"/>
      </rPr>
      <t>38</t>
    </r>
    <r>
      <rPr>
        <sz val="12"/>
        <color indexed="8"/>
        <rFont val="Times New Roman"/>
        <family val="1"/>
        <charset val="204"/>
      </rPr>
      <t>)</t>
    </r>
  </si>
  <si>
    <r>
      <t>F</t>
    </r>
    <r>
      <rPr>
        <vertAlign val="subscript"/>
        <sz val="12"/>
        <color indexed="8"/>
        <rFont val="Times New Roman"/>
        <family val="1"/>
        <charset val="204"/>
      </rPr>
      <t>10</t>
    </r>
    <r>
      <rPr>
        <sz val="12"/>
        <color indexed="8"/>
        <rFont val="Times New Roman"/>
        <family val="1"/>
        <charset val="204"/>
      </rPr>
      <t>=m</t>
    </r>
    <r>
      <rPr>
        <vertAlign val="subscript"/>
        <sz val="12"/>
        <color indexed="8"/>
        <rFont val="Times New Roman"/>
        <family val="1"/>
        <charset val="204"/>
      </rPr>
      <t>10</t>
    </r>
    <r>
      <rPr>
        <sz val="12"/>
        <color indexed="8"/>
        <rFont val="Times New Roman"/>
        <family val="1"/>
        <charset val="204"/>
      </rPr>
      <t>(V</t>
    </r>
    <r>
      <rPr>
        <vertAlign val="subscript"/>
        <sz val="12"/>
        <color indexed="8"/>
        <rFont val="Times New Roman"/>
        <family val="1"/>
        <charset val="204"/>
      </rPr>
      <t>39</t>
    </r>
    <r>
      <rPr>
        <sz val="12"/>
        <color indexed="8"/>
        <rFont val="Times New Roman"/>
        <family val="1"/>
        <charset val="204"/>
      </rPr>
      <t>K</t>
    </r>
    <r>
      <rPr>
        <vertAlign val="subscript"/>
        <sz val="12"/>
        <color indexed="8"/>
        <rFont val="Times New Roman"/>
        <family val="1"/>
        <charset val="204"/>
      </rPr>
      <t>39</t>
    </r>
    <r>
      <rPr>
        <sz val="12"/>
        <color indexed="8"/>
        <rFont val="Times New Roman"/>
        <family val="1"/>
        <charset val="204"/>
      </rPr>
      <t>+ +V</t>
    </r>
    <r>
      <rPr>
        <vertAlign val="subscript"/>
        <sz val="12"/>
        <color indexed="8"/>
        <rFont val="Times New Roman"/>
        <family val="1"/>
        <charset val="204"/>
      </rPr>
      <t>40</t>
    </r>
    <r>
      <rPr>
        <sz val="12"/>
        <color indexed="8"/>
        <rFont val="Times New Roman"/>
        <family val="1"/>
        <charset val="204"/>
      </rPr>
      <t>K</t>
    </r>
    <r>
      <rPr>
        <vertAlign val="subscript"/>
        <sz val="12"/>
        <color indexed="8"/>
        <rFont val="Times New Roman"/>
        <family val="1"/>
        <charset val="204"/>
      </rPr>
      <t>40</t>
    </r>
    <r>
      <rPr>
        <sz val="12"/>
        <color indexed="8"/>
        <rFont val="Times New Roman"/>
        <family val="1"/>
        <charset val="204"/>
      </rPr>
      <t>+V</t>
    </r>
    <r>
      <rPr>
        <vertAlign val="subscript"/>
        <sz val="12"/>
        <color indexed="8"/>
        <rFont val="Times New Roman"/>
        <family val="1"/>
        <charset val="204"/>
      </rPr>
      <t>41</t>
    </r>
    <r>
      <rPr>
        <sz val="12"/>
        <color indexed="8"/>
        <rFont val="Times New Roman"/>
        <family val="1"/>
        <charset val="204"/>
      </rPr>
      <t>K</t>
    </r>
    <r>
      <rPr>
        <vertAlign val="subscript"/>
        <sz val="12"/>
        <color indexed="8"/>
        <rFont val="Times New Roman"/>
        <family val="1"/>
        <charset val="204"/>
      </rPr>
      <t>41</t>
    </r>
    <r>
      <rPr>
        <sz val="12"/>
        <color indexed="8"/>
        <rFont val="Times New Roman"/>
        <family val="1"/>
        <charset val="204"/>
      </rPr>
      <t>)</t>
    </r>
  </si>
  <si>
    <r>
      <t>F</t>
    </r>
    <r>
      <rPr>
        <vertAlign val="subscript"/>
        <sz val="12"/>
        <color indexed="8"/>
        <rFont val="Times New Roman"/>
        <family val="1"/>
        <charset val="204"/>
      </rPr>
      <t>11</t>
    </r>
    <r>
      <rPr>
        <sz val="12"/>
        <color indexed="8"/>
        <rFont val="Times New Roman"/>
        <family val="1"/>
        <charset val="204"/>
      </rPr>
      <t>=m</t>
    </r>
    <r>
      <rPr>
        <vertAlign val="subscript"/>
        <sz val="12"/>
        <color indexed="8"/>
        <rFont val="Times New Roman"/>
        <family val="1"/>
        <charset val="204"/>
      </rPr>
      <t>11</t>
    </r>
    <r>
      <rPr>
        <sz val="12"/>
        <color indexed="8"/>
        <rFont val="Times New Roman"/>
        <family val="1"/>
        <charset val="204"/>
      </rPr>
      <t>(V</t>
    </r>
    <r>
      <rPr>
        <vertAlign val="subscript"/>
        <sz val="12"/>
        <color indexed="8"/>
        <rFont val="Times New Roman"/>
        <family val="1"/>
        <charset val="204"/>
      </rPr>
      <t>42</t>
    </r>
    <r>
      <rPr>
        <sz val="12"/>
        <color indexed="8"/>
        <rFont val="Times New Roman"/>
        <family val="1"/>
        <charset val="204"/>
      </rPr>
      <t>K</t>
    </r>
    <r>
      <rPr>
        <vertAlign val="subscript"/>
        <sz val="12"/>
        <color indexed="8"/>
        <rFont val="Times New Roman"/>
        <family val="1"/>
        <charset val="204"/>
      </rPr>
      <t>42</t>
    </r>
    <r>
      <rPr>
        <sz val="12"/>
        <color indexed="8"/>
        <rFont val="Times New Roman"/>
        <family val="1"/>
        <charset val="204"/>
      </rPr>
      <t>+ +V</t>
    </r>
    <r>
      <rPr>
        <vertAlign val="subscript"/>
        <sz val="12"/>
        <color indexed="8"/>
        <rFont val="Times New Roman"/>
        <family val="1"/>
        <charset val="204"/>
      </rPr>
      <t>43</t>
    </r>
    <r>
      <rPr>
        <sz val="12"/>
        <color indexed="8"/>
        <rFont val="Times New Roman"/>
        <family val="1"/>
        <charset val="204"/>
      </rPr>
      <t>K</t>
    </r>
    <r>
      <rPr>
        <vertAlign val="subscript"/>
        <sz val="12"/>
        <color indexed="8"/>
        <rFont val="Times New Roman"/>
        <family val="1"/>
        <charset val="204"/>
      </rPr>
      <t>43</t>
    </r>
    <r>
      <rPr>
        <sz val="12"/>
        <color indexed="8"/>
        <rFont val="Times New Roman"/>
        <family val="1"/>
        <charset val="204"/>
      </rPr>
      <t>+V</t>
    </r>
    <r>
      <rPr>
        <vertAlign val="subscript"/>
        <sz val="12"/>
        <color indexed="8"/>
        <rFont val="Times New Roman"/>
        <family val="1"/>
        <charset val="204"/>
      </rPr>
      <t>44</t>
    </r>
    <r>
      <rPr>
        <sz val="12"/>
        <color indexed="8"/>
        <rFont val="Times New Roman"/>
        <family val="1"/>
        <charset val="204"/>
      </rPr>
      <t>K</t>
    </r>
    <r>
      <rPr>
        <vertAlign val="subscript"/>
        <sz val="12"/>
        <color indexed="8"/>
        <rFont val="Times New Roman"/>
        <family val="1"/>
        <charset val="204"/>
      </rPr>
      <t>44</t>
    </r>
    <r>
      <rPr>
        <sz val="12"/>
        <color indexed="8"/>
        <rFont val="Times New Roman"/>
        <family val="1"/>
        <charset val="204"/>
      </rPr>
      <t>)</t>
    </r>
  </si>
  <si>
    <t>Фактори, що забезпечують відповідний стан діяльності,                  F</t>
  </si>
  <si>
    <r>
      <t>F</t>
    </r>
    <r>
      <rPr>
        <vertAlign val="subscript"/>
        <sz val="12"/>
        <color indexed="8"/>
        <rFont val="Times New Roman"/>
        <family val="1"/>
        <charset val="204"/>
      </rPr>
      <t>1</t>
    </r>
    <r>
      <rPr>
        <sz val="12"/>
        <color indexed="8"/>
        <rFont val="Times New Roman"/>
        <family val="1"/>
        <charset val="204"/>
      </rPr>
      <t>=m</t>
    </r>
    <r>
      <rPr>
        <vertAlign val="subscript"/>
        <sz val="12"/>
        <color indexed="8"/>
        <rFont val="Times New Roman"/>
        <family val="1"/>
        <charset val="204"/>
      </rPr>
      <t>1</t>
    </r>
    <r>
      <rPr>
        <sz val="12"/>
        <color indexed="8"/>
        <rFont val="Times New Roman"/>
        <family val="1"/>
        <charset val="204"/>
      </rPr>
      <t>(V</t>
    </r>
    <r>
      <rPr>
        <vertAlign val="subscript"/>
        <sz val="12"/>
        <color indexed="8"/>
        <rFont val="Times New Roman"/>
        <family val="1"/>
        <charset val="204"/>
      </rPr>
      <t>1</t>
    </r>
    <r>
      <rPr>
        <sz val="12"/>
        <color indexed="8"/>
        <rFont val="Times New Roman"/>
        <family val="1"/>
        <charset val="204"/>
      </rPr>
      <t>K</t>
    </r>
    <r>
      <rPr>
        <vertAlign val="subscript"/>
        <sz val="12"/>
        <color indexed="8"/>
        <rFont val="Times New Roman"/>
        <family val="1"/>
        <charset val="204"/>
      </rPr>
      <t>1</t>
    </r>
    <r>
      <rPr>
        <sz val="12"/>
        <color indexed="8"/>
        <rFont val="Times New Roman"/>
        <family val="1"/>
        <charset val="204"/>
      </rPr>
      <t>+     +V</t>
    </r>
    <r>
      <rPr>
        <vertAlign val="subscript"/>
        <sz val="12"/>
        <color indexed="8"/>
        <rFont val="Times New Roman"/>
        <family val="1"/>
        <charset val="204"/>
      </rPr>
      <t>2</t>
    </r>
    <r>
      <rPr>
        <sz val="12"/>
        <color indexed="8"/>
        <rFont val="Times New Roman"/>
        <family val="1"/>
        <charset val="204"/>
      </rPr>
      <t>K</t>
    </r>
    <r>
      <rPr>
        <vertAlign val="subscript"/>
        <sz val="12"/>
        <color indexed="8"/>
        <rFont val="Times New Roman"/>
        <family val="1"/>
        <charset val="204"/>
      </rPr>
      <t>2</t>
    </r>
    <r>
      <rPr>
        <sz val="12"/>
        <color indexed="8"/>
        <rFont val="Times New Roman"/>
        <family val="1"/>
        <charset val="204"/>
      </rPr>
      <t>+V</t>
    </r>
    <r>
      <rPr>
        <vertAlign val="subscript"/>
        <sz val="12"/>
        <color indexed="8"/>
        <rFont val="Times New Roman"/>
        <family val="1"/>
        <charset val="204"/>
      </rPr>
      <t>3</t>
    </r>
    <r>
      <rPr>
        <sz val="12"/>
        <color indexed="8"/>
        <rFont val="Times New Roman"/>
        <family val="1"/>
        <charset val="204"/>
      </rPr>
      <t>K</t>
    </r>
    <r>
      <rPr>
        <vertAlign val="subscript"/>
        <sz val="12"/>
        <color indexed="8"/>
        <rFont val="Times New Roman"/>
        <family val="1"/>
        <charset val="204"/>
      </rPr>
      <t>3</t>
    </r>
    <r>
      <rPr>
        <sz val="12"/>
        <color indexed="8"/>
        <rFont val="Times New Roman"/>
        <family val="1"/>
        <charset val="204"/>
      </rPr>
      <t>)</t>
    </r>
  </si>
  <si>
    <r>
      <t>F</t>
    </r>
    <r>
      <rPr>
        <vertAlign val="subscript"/>
        <sz val="12"/>
        <color indexed="8"/>
        <rFont val="Times New Roman"/>
        <family val="1"/>
        <charset val="204"/>
      </rPr>
      <t>2</t>
    </r>
    <r>
      <rPr>
        <sz val="12"/>
        <color indexed="8"/>
        <rFont val="Times New Roman"/>
        <family val="1"/>
        <charset val="204"/>
      </rPr>
      <t>=m</t>
    </r>
    <r>
      <rPr>
        <vertAlign val="subscript"/>
        <sz val="12"/>
        <color indexed="8"/>
        <rFont val="Times New Roman"/>
        <family val="1"/>
        <charset val="204"/>
      </rPr>
      <t>2</t>
    </r>
    <r>
      <rPr>
        <sz val="12"/>
        <color indexed="8"/>
        <rFont val="Times New Roman"/>
        <family val="1"/>
        <charset val="204"/>
      </rPr>
      <t>(V</t>
    </r>
    <r>
      <rPr>
        <vertAlign val="subscript"/>
        <sz val="12"/>
        <color indexed="8"/>
        <rFont val="Times New Roman"/>
        <family val="1"/>
        <charset val="204"/>
      </rPr>
      <t>4</t>
    </r>
    <r>
      <rPr>
        <sz val="12"/>
        <color indexed="8"/>
        <rFont val="Times New Roman"/>
        <family val="1"/>
        <charset val="204"/>
      </rPr>
      <t>K</t>
    </r>
    <r>
      <rPr>
        <vertAlign val="subscript"/>
        <sz val="12"/>
        <color indexed="8"/>
        <rFont val="Times New Roman"/>
        <family val="1"/>
        <charset val="204"/>
      </rPr>
      <t>4</t>
    </r>
    <r>
      <rPr>
        <sz val="12"/>
        <color indexed="8"/>
        <rFont val="Times New Roman"/>
        <family val="1"/>
        <charset val="204"/>
      </rPr>
      <t>+           +V</t>
    </r>
    <r>
      <rPr>
        <vertAlign val="subscript"/>
        <sz val="12"/>
        <color indexed="8"/>
        <rFont val="Times New Roman"/>
        <family val="1"/>
        <charset val="204"/>
      </rPr>
      <t>5</t>
    </r>
    <r>
      <rPr>
        <sz val="12"/>
        <color indexed="8"/>
        <rFont val="Times New Roman"/>
        <family val="1"/>
        <charset val="204"/>
      </rPr>
      <t>K</t>
    </r>
    <r>
      <rPr>
        <vertAlign val="subscript"/>
        <sz val="12"/>
        <color indexed="8"/>
        <rFont val="Times New Roman"/>
        <family val="1"/>
        <charset val="204"/>
      </rPr>
      <t>5</t>
    </r>
    <r>
      <rPr>
        <sz val="12"/>
        <color indexed="8"/>
        <rFont val="Times New Roman"/>
        <family val="1"/>
        <charset val="204"/>
      </rPr>
      <t>+V</t>
    </r>
    <r>
      <rPr>
        <vertAlign val="subscript"/>
        <sz val="12"/>
        <color indexed="8"/>
        <rFont val="Times New Roman"/>
        <family val="1"/>
        <charset val="204"/>
      </rPr>
      <t>6</t>
    </r>
    <r>
      <rPr>
        <sz val="12"/>
        <color indexed="8"/>
        <rFont val="Times New Roman"/>
        <family val="1"/>
        <charset val="204"/>
      </rPr>
      <t>K</t>
    </r>
    <r>
      <rPr>
        <vertAlign val="subscript"/>
        <sz val="12"/>
        <color indexed="8"/>
        <rFont val="Times New Roman"/>
        <family val="1"/>
        <charset val="204"/>
      </rPr>
      <t>6</t>
    </r>
    <r>
      <rPr>
        <sz val="12"/>
        <color indexed="8"/>
        <rFont val="Times New Roman"/>
        <family val="1"/>
        <charset val="204"/>
      </rPr>
      <t>+            +V</t>
    </r>
    <r>
      <rPr>
        <vertAlign val="subscript"/>
        <sz val="12"/>
        <color indexed="8"/>
        <rFont val="Times New Roman"/>
        <family val="1"/>
        <charset val="204"/>
      </rPr>
      <t>7</t>
    </r>
    <r>
      <rPr>
        <sz val="12"/>
        <color indexed="8"/>
        <rFont val="Times New Roman"/>
        <family val="1"/>
        <charset val="204"/>
      </rPr>
      <t>K</t>
    </r>
    <r>
      <rPr>
        <vertAlign val="subscript"/>
        <sz val="12"/>
        <color indexed="8"/>
        <rFont val="Times New Roman"/>
        <family val="1"/>
        <charset val="204"/>
      </rPr>
      <t>7</t>
    </r>
    <r>
      <rPr>
        <sz val="12"/>
        <color indexed="8"/>
        <rFont val="Times New Roman"/>
        <family val="1"/>
        <charset val="204"/>
      </rPr>
      <t>+V</t>
    </r>
    <r>
      <rPr>
        <vertAlign val="subscript"/>
        <sz val="12"/>
        <color indexed="8"/>
        <rFont val="Times New Roman"/>
        <family val="1"/>
        <charset val="204"/>
      </rPr>
      <t>8</t>
    </r>
    <r>
      <rPr>
        <sz val="12"/>
        <color indexed="8"/>
        <rFont val="Times New Roman"/>
        <family val="1"/>
        <charset val="204"/>
      </rPr>
      <t>K</t>
    </r>
    <r>
      <rPr>
        <vertAlign val="subscript"/>
        <sz val="12"/>
        <color indexed="8"/>
        <rFont val="Times New Roman"/>
        <family val="1"/>
        <charset val="204"/>
      </rPr>
      <t>8</t>
    </r>
    <r>
      <rPr>
        <sz val="12"/>
        <color indexed="8"/>
        <rFont val="Times New Roman"/>
        <family val="1"/>
        <charset val="204"/>
      </rPr>
      <t>+            +V</t>
    </r>
    <r>
      <rPr>
        <vertAlign val="subscript"/>
        <sz val="12"/>
        <color indexed="8"/>
        <rFont val="Times New Roman"/>
        <family val="1"/>
        <charset val="204"/>
      </rPr>
      <t>9</t>
    </r>
    <r>
      <rPr>
        <sz val="12"/>
        <color indexed="8"/>
        <rFont val="Times New Roman"/>
        <family val="1"/>
        <charset val="204"/>
      </rPr>
      <t>K</t>
    </r>
    <r>
      <rPr>
        <vertAlign val="subscript"/>
        <sz val="12"/>
        <color indexed="8"/>
        <rFont val="Times New Roman"/>
        <family val="1"/>
        <charset val="204"/>
      </rPr>
      <t>9</t>
    </r>
    <r>
      <rPr>
        <sz val="12"/>
        <color indexed="8"/>
        <rFont val="Times New Roman"/>
        <family val="1"/>
        <charset val="204"/>
      </rPr>
      <t>+V</t>
    </r>
    <r>
      <rPr>
        <vertAlign val="subscript"/>
        <sz val="12"/>
        <color indexed="8"/>
        <rFont val="Times New Roman"/>
        <family val="1"/>
        <charset val="204"/>
      </rPr>
      <t>10</t>
    </r>
    <r>
      <rPr>
        <sz val="12"/>
        <color indexed="8"/>
        <rFont val="Times New Roman"/>
        <family val="1"/>
        <charset val="204"/>
      </rPr>
      <t>K</t>
    </r>
    <r>
      <rPr>
        <vertAlign val="subscript"/>
        <sz val="12"/>
        <color indexed="8"/>
        <rFont val="Times New Roman"/>
        <family val="1"/>
        <charset val="204"/>
      </rPr>
      <t>10</t>
    </r>
    <r>
      <rPr>
        <sz val="12"/>
        <color indexed="8"/>
        <rFont val="Times New Roman"/>
        <family val="1"/>
        <charset val="204"/>
      </rPr>
      <t>+          +V</t>
    </r>
    <r>
      <rPr>
        <vertAlign val="subscript"/>
        <sz val="12"/>
        <color indexed="8"/>
        <rFont val="Times New Roman"/>
        <family val="1"/>
        <charset val="204"/>
      </rPr>
      <t>11</t>
    </r>
    <r>
      <rPr>
        <sz val="12"/>
        <color indexed="8"/>
        <rFont val="Times New Roman"/>
        <family val="1"/>
        <charset val="204"/>
      </rPr>
      <t>K</t>
    </r>
    <r>
      <rPr>
        <vertAlign val="subscript"/>
        <sz val="12"/>
        <color indexed="8"/>
        <rFont val="Times New Roman"/>
        <family val="1"/>
        <charset val="204"/>
      </rPr>
      <t>11</t>
    </r>
    <r>
      <rPr>
        <sz val="12"/>
        <color indexed="8"/>
        <rFont val="Times New Roman"/>
        <family val="1"/>
        <charset val="204"/>
      </rPr>
      <t>+V</t>
    </r>
    <r>
      <rPr>
        <vertAlign val="subscript"/>
        <sz val="12"/>
        <color indexed="8"/>
        <rFont val="Times New Roman"/>
        <family val="1"/>
        <charset val="204"/>
      </rPr>
      <t>12</t>
    </r>
    <r>
      <rPr>
        <sz val="12"/>
        <color indexed="8"/>
        <rFont val="Times New Roman"/>
        <family val="1"/>
        <charset val="204"/>
      </rPr>
      <t>K</t>
    </r>
    <r>
      <rPr>
        <vertAlign val="subscript"/>
        <sz val="12"/>
        <color indexed="8"/>
        <rFont val="Times New Roman"/>
        <family val="1"/>
        <charset val="204"/>
      </rPr>
      <t>12</t>
    </r>
    <r>
      <rPr>
        <sz val="12"/>
        <color indexed="8"/>
        <rFont val="Times New Roman"/>
        <family val="1"/>
        <charset val="204"/>
      </rPr>
      <t>+       +V</t>
    </r>
    <r>
      <rPr>
        <vertAlign val="subscript"/>
        <sz val="12"/>
        <color indexed="8"/>
        <rFont val="Times New Roman"/>
        <family val="1"/>
        <charset val="204"/>
      </rPr>
      <t>13</t>
    </r>
    <r>
      <rPr>
        <sz val="12"/>
        <color indexed="8"/>
        <rFont val="Times New Roman"/>
        <family val="1"/>
        <charset val="204"/>
      </rPr>
      <t>K</t>
    </r>
    <r>
      <rPr>
        <vertAlign val="subscript"/>
        <sz val="12"/>
        <color indexed="8"/>
        <rFont val="Times New Roman"/>
        <family val="1"/>
        <charset val="204"/>
      </rPr>
      <t>13</t>
    </r>
    <r>
      <rPr>
        <sz val="12"/>
        <color indexed="8"/>
        <rFont val="Times New Roman"/>
        <family val="1"/>
        <charset val="204"/>
      </rPr>
      <t>)</t>
    </r>
  </si>
  <si>
    <r>
      <t xml:space="preserve">Видання наказів.                               </t>
    </r>
    <r>
      <rPr>
        <sz val="12"/>
        <color indexed="8"/>
        <rFont val="Times New Roman"/>
        <family val="1"/>
        <charset val="204"/>
      </rPr>
      <t xml:space="preserve">  </t>
    </r>
    <r>
      <rPr>
        <sz val="12"/>
        <color indexed="9"/>
        <rFont val="Times New Roman"/>
        <family val="1"/>
        <charset val="204"/>
      </rPr>
      <t xml:space="preserve">                                                              /                             //               ………………………………………………………………………          </t>
    </r>
    <r>
      <rPr>
        <sz val="12"/>
        <color indexed="8"/>
        <rFont val="Times New Roman"/>
        <family val="1"/>
        <charset val="204"/>
      </rPr>
      <t>F</t>
    </r>
    <r>
      <rPr>
        <vertAlign val="subscript"/>
        <sz val="12"/>
        <color indexed="8"/>
        <rFont val="Times New Roman"/>
        <family val="1"/>
        <charset val="204"/>
      </rPr>
      <t>3</t>
    </r>
    <r>
      <rPr>
        <sz val="12"/>
        <color indexed="8"/>
        <rFont val="Times New Roman"/>
        <family val="1"/>
        <charset val="204"/>
      </rPr>
      <t>=m</t>
    </r>
    <r>
      <rPr>
        <vertAlign val="subscript"/>
        <sz val="12"/>
        <color indexed="8"/>
        <rFont val="Times New Roman"/>
        <family val="1"/>
        <charset val="204"/>
      </rPr>
      <t>3</t>
    </r>
    <r>
      <rPr>
        <sz val="12"/>
        <color indexed="8"/>
        <rFont val="Times New Roman"/>
        <family val="1"/>
        <charset val="204"/>
      </rPr>
      <t>(V</t>
    </r>
    <r>
      <rPr>
        <vertAlign val="subscript"/>
        <sz val="12"/>
        <color indexed="8"/>
        <rFont val="Times New Roman"/>
        <family val="1"/>
        <charset val="204"/>
      </rPr>
      <t>14</t>
    </r>
    <r>
      <rPr>
        <sz val="12"/>
        <color indexed="8"/>
        <rFont val="Times New Roman"/>
        <family val="1"/>
        <charset val="204"/>
      </rPr>
      <t>K</t>
    </r>
    <r>
      <rPr>
        <vertAlign val="subscript"/>
        <sz val="12"/>
        <color indexed="8"/>
        <rFont val="Times New Roman"/>
        <family val="1"/>
        <charset val="204"/>
      </rPr>
      <t>14</t>
    </r>
    <r>
      <rPr>
        <sz val="12"/>
        <color indexed="8"/>
        <rFont val="Times New Roman"/>
        <family val="1"/>
        <charset val="204"/>
      </rPr>
      <t>+     +V</t>
    </r>
    <r>
      <rPr>
        <vertAlign val="subscript"/>
        <sz val="12"/>
        <color indexed="8"/>
        <rFont val="Times New Roman"/>
        <family val="1"/>
        <charset val="204"/>
      </rPr>
      <t>15</t>
    </r>
    <r>
      <rPr>
        <sz val="12"/>
        <color indexed="8"/>
        <rFont val="Times New Roman"/>
        <family val="1"/>
        <charset val="204"/>
      </rPr>
      <t>K</t>
    </r>
    <r>
      <rPr>
        <vertAlign val="subscript"/>
        <sz val="12"/>
        <color indexed="8"/>
        <rFont val="Times New Roman"/>
        <family val="1"/>
        <charset val="204"/>
      </rPr>
      <t>15</t>
    </r>
    <r>
      <rPr>
        <sz val="12"/>
        <color indexed="8"/>
        <rFont val="Times New Roman"/>
        <family val="1"/>
        <charset val="204"/>
      </rPr>
      <t>+V</t>
    </r>
    <r>
      <rPr>
        <vertAlign val="subscript"/>
        <sz val="12"/>
        <color indexed="8"/>
        <rFont val="Times New Roman"/>
        <family val="1"/>
        <charset val="204"/>
      </rPr>
      <t>16</t>
    </r>
    <r>
      <rPr>
        <sz val="12"/>
        <color indexed="8"/>
        <rFont val="Times New Roman"/>
        <family val="1"/>
        <charset val="204"/>
      </rPr>
      <t>K</t>
    </r>
    <r>
      <rPr>
        <vertAlign val="subscript"/>
        <sz val="12"/>
        <color indexed="8"/>
        <rFont val="Times New Roman"/>
        <family val="1"/>
        <charset val="204"/>
      </rPr>
      <t>16</t>
    </r>
    <r>
      <rPr>
        <sz val="12"/>
        <color indexed="8"/>
        <rFont val="Times New Roman"/>
        <family val="1"/>
        <charset val="204"/>
      </rPr>
      <t>+      +V</t>
    </r>
    <r>
      <rPr>
        <vertAlign val="subscript"/>
        <sz val="12"/>
        <color indexed="8"/>
        <rFont val="Times New Roman"/>
        <family val="1"/>
        <charset val="204"/>
      </rPr>
      <t>17</t>
    </r>
    <r>
      <rPr>
        <sz val="12"/>
        <color indexed="8"/>
        <rFont val="Times New Roman"/>
        <family val="1"/>
        <charset val="204"/>
      </rPr>
      <t>K</t>
    </r>
    <r>
      <rPr>
        <vertAlign val="subscript"/>
        <sz val="12"/>
        <color indexed="8"/>
        <rFont val="Times New Roman"/>
        <family val="1"/>
        <charset val="204"/>
      </rPr>
      <t>17</t>
    </r>
    <r>
      <rPr>
        <sz val="12"/>
        <color indexed="8"/>
        <rFont val="Times New Roman"/>
        <family val="1"/>
        <charset val="204"/>
      </rPr>
      <t>)</t>
    </r>
  </si>
  <si>
    <r>
      <t>F</t>
    </r>
    <r>
      <rPr>
        <vertAlign val="subscript"/>
        <sz val="12"/>
        <color indexed="8"/>
        <rFont val="Times New Roman"/>
        <family val="1"/>
        <charset val="204"/>
      </rPr>
      <t>4</t>
    </r>
    <r>
      <rPr>
        <sz val="12"/>
        <color indexed="8"/>
        <rFont val="Times New Roman"/>
        <family val="1"/>
        <charset val="204"/>
      </rPr>
      <t>=m</t>
    </r>
    <r>
      <rPr>
        <vertAlign val="subscript"/>
        <sz val="12"/>
        <color indexed="8"/>
        <rFont val="Times New Roman"/>
        <family val="1"/>
        <charset val="204"/>
      </rPr>
      <t>4</t>
    </r>
    <r>
      <rPr>
        <sz val="12"/>
        <color indexed="8"/>
        <rFont val="Times New Roman"/>
        <family val="1"/>
        <charset val="204"/>
      </rPr>
      <t>(V</t>
    </r>
    <r>
      <rPr>
        <vertAlign val="subscript"/>
        <sz val="12"/>
        <color indexed="8"/>
        <rFont val="Times New Roman"/>
        <family val="1"/>
        <charset val="204"/>
      </rPr>
      <t>21</t>
    </r>
    <r>
      <rPr>
        <sz val="12"/>
        <color indexed="8"/>
        <rFont val="Times New Roman"/>
        <family val="1"/>
        <charset val="204"/>
      </rPr>
      <t>K</t>
    </r>
    <r>
      <rPr>
        <vertAlign val="subscript"/>
        <sz val="12"/>
        <color indexed="8"/>
        <rFont val="Times New Roman"/>
        <family val="1"/>
        <charset val="204"/>
      </rPr>
      <t>21</t>
    </r>
    <r>
      <rPr>
        <sz val="12"/>
        <color indexed="8"/>
        <rFont val="Times New Roman"/>
        <family val="1"/>
        <charset val="204"/>
      </rPr>
      <t>+                           +V</t>
    </r>
    <r>
      <rPr>
        <vertAlign val="subscript"/>
        <sz val="12"/>
        <color indexed="8"/>
        <rFont val="Times New Roman"/>
        <family val="1"/>
        <charset val="204"/>
      </rPr>
      <t>22</t>
    </r>
    <r>
      <rPr>
        <sz val="12"/>
        <color indexed="8"/>
        <rFont val="Times New Roman"/>
        <family val="1"/>
        <charset val="204"/>
      </rPr>
      <t>K</t>
    </r>
    <r>
      <rPr>
        <vertAlign val="subscript"/>
        <sz val="12"/>
        <color indexed="8"/>
        <rFont val="Times New Roman"/>
        <family val="1"/>
        <charset val="204"/>
      </rPr>
      <t>22</t>
    </r>
    <r>
      <rPr>
        <sz val="12"/>
        <color indexed="8"/>
        <rFont val="Times New Roman"/>
        <family val="1"/>
        <charset val="204"/>
      </rPr>
      <t>+V</t>
    </r>
    <r>
      <rPr>
        <vertAlign val="subscript"/>
        <sz val="12"/>
        <color indexed="8"/>
        <rFont val="Times New Roman"/>
        <family val="1"/>
        <charset val="204"/>
      </rPr>
      <t>23</t>
    </r>
    <r>
      <rPr>
        <sz val="12"/>
        <color indexed="8"/>
        <rFont val="Times New Roman"/>
        <family val="1"/>
        <charset val="204"/>
      </rPr>
      <t>K</t>
    </r>
    <r>
      <rPr>
        <vertAlign val="subscript"/>
        <sz val="12"/>
        <color indexed="8"/>
        <rFont val="Times New Roman"/>
        <family val="1"/>
        <charset val="204"/>
      </rPr>
      <t>23</t>
    </r>
    <r>
      <rPr>
        <sz val="12"/>
        <color indexed="8"/>
        <rFont val="Times New Roman"/>
        <family val="1"/>
        <charset val="204"/>
      </rPr>
      <t>+                            +V</t>
    </r>
    <r>
      <rPr>
        <vertAlign val="subscript"/>
        <sz val="12"/>
        <color indexed="8"/>
        <rFont val="Times New Roman"/>
        <family val="1"/>
        <charset val="204"/>
      </rPr>
      <t>24</t>
    </r>
    <r>
      <rPr>
        <sz val="12"/>
        <color indexed="8"/>
        <rFont val="Times New Roman"/>
        <family val="1"/>
        <charset val="204"/>
      </rPr>
      <t>K</t>
    </r>
    <r>
      <rPr>
        <vertAlign val="subscript"/>
        <sz val="12"/>
        <color indexed="8"/>
        <rFont val="Times New Roman"/>
        <family val="1"/>
        <charset val="204"/>
      </rPr>
      <t>24</t>
    </r>
    <r>
      <rPr>
        <sz val="12"/>
        <color indexed="8"/>
        <rFont val="Times New Roman"/>
        <family val="1"/>
        <charset val="204"/>
      </rPr>
      <t>+V</t>
    </r>
    <r>
      <rPr>
        <vertAlign val="subscript"/>
        <sz val="12"/>
        <color indexed="8"/>
        <rFont val="Times New Roman"/>
        <family val="1"/>
        <charset val="204"/>
      </rPr>
      <t>25</t>
    </r>
    <r>
      <rPr>
        <sz val="12"/>
        <color indexed="8"/>
        <rFont val="Times New Roman"/>
        <family val="1"/>
        <charset val="204"/>
      </rPr>
      <t>K</t>
    </r>
    <r>
      <rPr>
        <vertAlign val="subscript"/>
        <sz val="12"/>
        <color indexed="8"/>
        <rFont val="Times New Roman"/>
        <family val="1"/>
        <charset val="204"/>
      </rPr>
      <t>25</t>
    </r>
    <r>
      <rPr>
        <sz val="12"/>
        <color indexed="8"/>
        <rFont val="Times New Roman"/>
        <family val="1"/>
        <charset val="204"/>
      </rPr>
      <t>+    +V</t>
    </r>
    <r>
      <rPr>
        <vertAlign val="subscript"/>
        <sz val="12"/>
        <color indexed="8"/>
        <rFont val="Times New Roman"/>
        <family val="1"/>
        <charset val="204"/>
      </rPr>
      <t>26</t>
    </r>
    <r>
      <rPr>
        <sz val="12"/>
        <color indexed="8"/>
        <rFont val="Times New Roman"/>
        <family val="1"/>
        <charset val="204"/>
      </rPr>
      <t>K</t>
    </r>
    <r>
      <rPr>
        <vertAlign val="subscript"/>
        <sz val="12"/>
        <color indexed="8"/>
        <rFont val="Times New Roman"/>
        <family val="1"/>
        <charset val="204"/>
      </rPr>
      <t>26</t>
    </r>
    <r>
      <rPr>
        <sz val="12"/>
        <color indexed="8"/>
        <rFont val="Times New Roman"/>
        <family val="1"/>
        <charset val="204"/>
      </rPr>
      <t>)</t>
    </r>
  </si>
  <si>
    <r>
      <t>F</t>
    </r>
    <r>
      <rPr>
        <vertAlign val="subscript"/>
        <sz val="12"/>
        <color indexed="8"/>
        <rFont val="Times New Roman"/>
        <family val="1"/>
        <charset val="204"/>
      </rPr>
      <t>5</t>
    </r>
    <r>
      <rPr>
        <sz val="12"/>
        <color indexed="8"/>
        <rFont val="Times New Roman"/>
        <family val="1"/>
        <charset val="204"/>
      </rPr>
      <t>=m</t>
    </r>
    <r>
      <rPr>
        <vertAlign val="subscript"/>
        <sz val="12"/>
        <color indexed="8"/>
        <rFont val="Times New Roman"/>
        <family val="1"/>
        <charset val="204"/>
      </rPr>
      <t>5</t>
    </r>
    <r>
      <rPr>
        <sz val="12"/>
        <color indexed="8"/>
        <rFont val="Times New Roman"/>
        <family val="1"/>
        <charset val="204"/>
      </rPr>
      <t>(V</t>
    </r>
    <r>
      <rPr>
        <vertAlign val="subscript"/>
        <sz val="12"/>
        <color indexed="8"/>
        <rFont val="Times New Roman"/>
        <family val="1"/>
        <charset val="204"/>
      </rPr>
      <t>27</t>
    </r>
    <r>
      <rPr>
        <sz val="12"/>
        <color indexed="8"/>
        <rFont val="Times New Roman"/>
        <family val="1"/>
        <charset val="204"/>
      </rPr>
      <t>K</t>
    </r>
    <r>
      <rPr>
        <vertAlign val="subscript"/>
        <sz val="12"/>
        <color indexed="8"/>
        <rFont val="Times New Roman"/>
        <family val="1"/>
        <charset val="204"/>
      </rPr>
      <t>27</t>
    </r>
    <r>
      <rPr>
        <sz val="12"/>
        <color indexed="8"/>
        <rFont val="Times New Roman"/>
        <family val="1"/>
        <charset val="204"/>
      </rPr>
      <t>+                      +V</t>
    </r>
    <r>
      <rPr>
        <vertAlign val="subscript"/>
        <sz val="12"/>
        <color indexed="8"/>
        <rFont val="Times New Roman"/>
        <family val="1"/>
        <charset val="204"/>
      </rPr>
      <t>28</t>
    </r>
    <r>
      <rPr>
        <sz val="12"/>
        <color indexed="8"/>
        <rFont val="Times New Roman"/>
        <family val="1"/>
        <charset val="204"/>
      </rPr>
      <t>K</t>
    </r>
    <r>
      <rPr>
        <vertAlign val="subscript"/>
        <sz val="12"/>
        <color indexed="8"/>
        <rFont val="Times New Roman"/>
        <family val="1"/>
        <charset val="204"/>
      </rPr>
      <t>28</t>
    </r>
    <r>
      <rPr>
        <sz val="12"/>
        <color indexed="8"/>
        <rFont val="Times New Roman"/>
        <family val="1"/>
        <charset val="204"/>
      </rPr>
      <t>)</t>
    </r>
  </si>
  <si>
    <r>
      <t>F</t>
    </r>
    <r>
      <rPr>
        <vertAlign val="subscript"/>
        <sz val="12"/>
        <color indexed="8"/>
        <rFont val="Times New Roman"/>
        <family val="1"/>
        <charset val="204"/>
      </rPr>
      <t>6</t>
    </r>
    <r>
      <rPr>
        <sz val="12"/>
        <color indexed="8"/>
        <rFont val="Times New Roman"/>
        <family val="1"/>
        <charset val="204"/>
      </rPr>
      <t>=m</t>
    </r>
    <r>
      <rPr>
        <vertAlign val="subscript"/>
        <sz val="12"/>
        <color indexed="8"/>
        <rFont val="Times New Roman"/>
        <family val="1"/>
        <charset val="204"/>
      </rPr>
      <t>6</t>
    </r>
    <r>
      <rPr>
        <sz val="12"/>
        <color indexed="8"/>
        <rFont val="Times New Roman"/>
        <family val="1"/>
        <charset val="204"/>
      </rPr>
      <t>(V</t>
    </r>
    <r>
      <rPr>
        <vertAlign val="subscript"/>
        <sz val="12"/>
        <color indexed="8"/>
        <rFont val="Times New Roman"/>
        <family val="1"/>
        <charset val="204"/>
      </rPr>
      <t>29</t>
    </r>
    <r>
      <rPr>
        <sz val="12"/>
        <color indexed="8"/>
        <rFont val="Times New Roman"/>
        <family val="1"/>
        <charset val="204"/>
      </rPr>
      <t>K</t>
    </r>
    <r>
      <rPr>
        <vertAlign val="subscript"/>
        <sz val="12"/>
        <color indexed="8"/>
        <rFont val="Times New Roman"/>
        <family val="1"/>
        <charset val="204"/>
      </rPr>
      <t>29</t>
    </r>
    <r>
      <rPr>
        <sz val="12"/>
        <color indexed="8"/>
        <rFont val="Times New Roman"/>
        <family val="1"/>
        <charset val="204"/>
      </rPr>
      <t>+ +V</t>
    </r>
    <r>
      <rPr>
        <vertAlign val="subscript"/>
        <sz val="12"/>
        <color indexed="8"/>
        <rFont val="Times New Roman"/>
        <family val="1"/>
        <charset val="204"/>
      </rPr>
      <t>30</t>
    </r>
    <r>
      <rPr>
        <sz val="12"/>
        <color indexed="8"/>
        <rFont val="Times New Roman"/>
        <family val="1"/>
        <charset val="204"/>
      </rPr>
      <t>K</t>
    </r>
    <r>
      <rPr>
        <vertAlign val="subscript"/>
        <sz val="12"/>
        <color indexed="8"/>
        <rFont val="Times New Roman"/>
        <family val="1"/>
        <charset val="204"/>
      </rPr>
      <t>30</t>
    </r>
    <r>
      <rPr>
        <sz val="12"/>
        <color indexed="8"/>
        <rFont val="Times New Roman"/>
        <family val="1"/>
        <charset val="204"/>
      </rPr>
      <t>+V</t>
    </r>
    <r>
      <rPr>
        <vertAlign val="subscript"/>
        <sz val="12"/>
        <color indexed="8"/>
        <rFont val="Times New Roman"/>
        <family val="1"/>
        <charset val="204"/>
      </rPr>
      <t>31</t>
    </r>
    <r>
      <rPr>
        <sz val="12"/>
        <color indexed="8"/>
        <rFont val="Times New Roman"/>
        <family val="1"/>
        <charset val="204"/>
      </rPr>
      <t>K</t>
    </r>
    <r>
      <rPr>
        <vertAlign val="subscript"/>
        <sz val="12"/>
        <color indexed="8"/>
        <rFont val="Times New Roman"/>
        <family val="1"/>
        <charset val="204"/>
      </rPr>
      <t>31</t>
    </r>
    <r>
      <rPr>
        <sz val="12"/>
        <color indexed="8"/>
        <rFont val="Times New Roman"/>
        <family val="1"/>
        <charset val="204"/>
      </rPr>
      <t>+V</t>
    </r>
    <r>
      <rPr>
        <vertAlign val="subscript"/>
        <sz val="12"/>
        <color indexed="8"/>
        <rFont val="Times New Roman"/>
        <family val="1"/>
        <charset val="204"/>
      </rPr>
      <t>32</t>
    </r>
    <r>
      <rPr>
        <sz val="12"/>
        <color indexed="8"/>
        <rFont val="Times New Roman"/>
        <family val="1"/>
        <charset val="204"/>
      </rPr>
      <t>K</t>
    </r>
    <r>
      <rPr>
        <vertAlign val="subscript"/>
        <sz val="12"/>
        <color indexed="8"/>
        <rFont val="Times New Roman"/>
        <family val="1"/>
        <charset val="204"/>
      </rPr>
      <t xml:space="preserve">32 </t>
    </r>
    <r>
      <rPr>
        <sz val="12"/>
        <color indexed="8"/>
        <rFont val="Times New Roman"/>
        <family val="1"/>
        <charset val="204"/>
      </rPr>
      <t>+V</t>
    </r>
    <r>
      <rPr>
        <vertAlign val="subscript"/>
        <sz val="12"/>
        <color indexed="8"/>
        <rFont val="Times New Roman"/>
        <family val="1"/>
        <charset val="204"/>
      </rPr>
      <t>33</t>
    </r>
    <r>
      <rPr>
        <sz val="12"/>
        <color indexed="8"/>
        <rFont val="Times New Roman"/>
        <family val="1"/>
        <charset val="204"/>
      </rPr>
      <t>K</t>
    </r>
    <r>
      <rPr>
        <vertAlign val="subscript"/>
        <sz val="12"/>
        <color indexed="8"/>
        <rFont val="Times New Roman"/>
        <family val="1"/>
        <charset val="204"/>
      </rPr>
      <t xml:space="preserve">33 </t>
    </r>
    <r>
      <rPr>
        <sz val="12"/>
        <color indexed="8"/>
        <rFont val="Times New Roman"/>
        <family val="1"/>
        <charset val="204"/>
      </rPr>
      <t>)</t>
    </r>
  </si>
  <si>
    <r>
      <t>F</t>
    </r>
    <r>
      <rPr>
        <vertAlign val="subscript"/>
        <sz val="12"/>
        <color indexed="8"/>
        <rFont val="Times New Roman"/>
        <family val="1"/>
        <charset val="204"/>
      </rPr>
      <t>7</t>
    </r>
    <r>
      <rPr>
        <sz val="12"/>
        <color indexed="8"/>
        <rFont val="Times New Roman"/>
        <family val="1"/>
        <charset val="204"/>
      </rPr>
      <t>=m</t>
    </r>
    <r>
      <rPr>
        <vertAlign val="subscript"/>
        <sz val="12"/>
        <color indexed="8"/>
        <rFont val="Times New Roman"/>
        <family val="1"/>
        <charset val="204"/>
      </rPr>
      <t>7</t>
    </r>
    <r>
      <rPr>
        <sz val="12"/>
        <color indexed="8"/>
        <rFont val="Times New Roman"/>
        <family val="1"/>
        <charset val="204"/>
      </rPr>
      <t>(V</t>
    </r>
    <r>
      <rPr>
        <vertAlign val="subscript"/>
        <sz val="12"/>
        <color indexed="8"/>
        <rFont val="Times New Roman"/>
        <family val="1"/>
        <charset val="204"/>
      </rPr>
      <t>34</t>
    </r>
    <r>
      <rPr>
        <sz val="12"/>
        <color indexed="8"/>
        <rFont val="Times New Roman"/>
        <family val="1"/>
        <charset val="204"/>
      </rPr>
      <t>K</t>
    </r>
    <r>
      <rPr>
        <vertAlign val="subscript"/>
        <sz val="12"/>
        <color indexed="8"/>
        <rFont val="Times New Roman"/>
        <family val="1"/>
        <charset val="204"/>
      </rPr>
      <t>34</t>
    </r>
    <r>
      <rPr>
        <sz val="12"/>
        <color indexed="8"/>
        <rFont val="Times New Roman"/>
        <family val="1"/>
        <charset val="204"/>
      </rPr>
      <t>+                  +V</t>
    </r>
    <r>
      <rPr>
        <vertAlign val="subscript"/>
        <sz val="12"/>
        <color indexed="8"/>
        <rFont val="Times New Roman"/>
        <family val="1"/>
        <charset val="204"/>
      </rPr>
      <t>35</t>
    </r>
    <r>
      <rPr>
        <sz val="12"/>
        <color indexed="8"/>
        <rFont val="Times New Roman"/>
        <family val="1"/>
        <charset val="204"/>
      </rPr>
      <t>K</t>
    </r>
    <r>
      <rPr>
        <vertAlign val="subscript"/>
        <sz val="12"/>
        <color indexed="8"/>
        <rFont val="Times New Roman"/>
        <family val="1"/>
        <charset val="204"/>
      </rPr>
      <t>35</t>
    </r>
    <r>
      <rPr>
        <sz val="12"/>
        <color indexed="8"/>
        <rFont val="Times New Roman"/>
        <family val="1"/>
        <charset val="204"/>
      </rPr>
      <t>+V</t>
    </r>
    <r>
      <rPr>
        <vertAlign val="subscript"/>
        <sz val="12"/>
        <color indexed="8"/>
        <rFont val="Times New Roman"/>
        <family val="1"/>
        <charset val="204"/>
      </rPr>
      <t>36</t>
    </r>
    <r>
      <rPr>
        <sz val="12"/>
        <color indexed="8"/>
        <rFont val="Times New Roman"/>
        <family val="1"/>
        <charset val="204"/>
      </rPr>
      <t>K</t>
    </r>
    <r>
      <rPr>
        <vertAlign val="subscript"/>
        <sz val="12"/>
        <color indexed="8"/>
        <rFont val="Times New Roman"/>
        <family val="1"/>
        <charset val="204"/>
      </rPr>
      <t>36</t>
    </r>
    <r>
      <rPr>
        <sz val="12"/>
        <color indexed="8"/>
        <rFont val="Times New Roman"/>
        <family val="1"/>
        <charset val="204"/>
      </rPr>
      <t>+      +V</t>
    </r>
    <r>
      <rPr>
        <vertAlign val="subscript"/>
        <sz val="12"/>
        <color indexed="8"/>
        <rFont val="Times New Roman"/>
        <family val="1"/>
        <charset val="204"/>
      </rPr>
      <t>37</t>
    </r>
    <r>
      <rPr>
        <sz val="12"/>
        <color indexed="8"/>
        <rFont val="Times New Roman"/>
        <family val="1"/>
        <charset val="204"/>
      </rPr>
      <t>K</t>
    </r>
    <r>
      <rPr>
        <vertAlign val="subscript"/>
        <sz val="12"/>
        <color indexed="8"/>
        <rFont val="Times New Roman"/>
        <family val="1"/>
        <charset val="204"/>
      </rPr>
      <t>37</t>
    </r>
    <r>
      <rPr>
        <sz val="12"/>
        <color indexed="8"/>
        <rFont val="Times New Roman"/>
        <family val="1"/>
        <charset val="204"/>
      </rPr>
      <t>+V</t>
    </r>
    <r>
      <rPr>
        <vertAlign val="subscript"/>
        <sz val="12"/>
        <color indexed="8"/>
        <rFont val="Times New Roman"/>
        <family val="1"/>
        <charset val="204"/>
      </rPr>
      <t>38</t>
    </r>
    <r>
      <rPr>
        <sz val="12"/>
        <color indexed="8"/>
        <rFont val="Times New Roman"/>
        <family val="1"/>
        <charset val="204"/>
      </rPr>
      <t>K</t>
    </r>
    <r>
      <rPr>
        <vertAlign val="subscript"/>
        <sz val="12"/>
        <color indexed="8"/>
        <rFont val="Times New Roman"/>
        <family val="1"/>
        <charset val="204"/>
      </rPr>
      <t>38</t>
    </r>
    <r>
      <rPr>
        <sz val="12"/>
        <color indexed="8"/>
        <rFont val="Times New Roman"/>
        <family val="1"/>
        <charset val="204"/>
      </rPr>
      <t>)</t>
    </r>
  </si>
  <si>
    <t>Врахування вимог Конституції України, ст. 53; Законів України «Про освіту»; «Про загальну середню освіту», «Про місцеве самоврядування в Україні»; Інструкції з обліку дітей і підлітків шкільного віку, затверджена Постановою Кабінету Міністрів України від 12.04.2000 № 646; наказу Міністерства освіти і науки України від 07.04.2005 № 204 «Про прийом дітей до 1 класу загальноосвітніх навчальних закладів»/ Інформаційний збірник МОНУ № 13–14, 2005 р.; наказу Держкомстату України від 06.08.2010 № 317 «Про затвердження форми державного статистичного спостереження N 77-РВК (один раз на рік) «Звіт про кількість дітей шкільного віку»; наказів адміністрації району Харківської міської ради «Про облік дітей шкільного віку та закріплення території обслуговування за загальноосвітніми навчальними закладами району на навчальний рік», «Про затвердження списків дітей шкільного віку на навчальний рік»; наказів по УО «Про облік дітей шкільного віку та закріплення території обслуговування за загальноосвітніми навчальними закладами району на навчальний рік» (видається щороку), «Про затвердження списків дітей шкільного віку на навчальний рік».</t>
  </si>
  <si>
    <t>Наявність і змістовність розділу, заходів з питань експертизи.</t>
  </si>
  <si>
    <t>Ґрунтовність аналізу роботи за минулий рік з питань експертизи.</t>
  </si>
  <si>
    <t>Наявність відміток про зберігання матеріалів згідно з номенклатурою справ.</t>
  </si>
  <si>
    <t>Наявність наказів адміністрації району Харківської міської ради «Про облік дітей шкільного віку та закріплення території обслуговування за загальноосвітніми навчальними закладами району на навчальний рік», «Про затвердження списків дітей шкільного віку на навчальний рік» (видаються щороку).</t>
  </si>
  <si>
    <t>Наявність і змістовність наказів управління освіти «Про облік дітей шкільного віку та закріплення території обслуговування за загальноосвітніми навчальними закладами району на навчальний рік», «Про затвердження списків дітей шкільного віку на навчальний рік» (видаються щороку)</t>
  </si>
  <si>
    <t>Наявність копій довідок з місця навчання тих учнів, які здобувають загальну середню освіту в інших навчальних закладах.</t>
  </si>
  <si>
    <t>Нормативність видання наказів про нагородження учнів похвальними листами та похвальними грамотами (відповідність положенням).</t>
  </si>
  <si>
    <t>ВИВЧЕННЯ СТАНУ УПРАВЛІНСЬКОЇ ДІЯЛЬНОСТІ УПРАВЛІННЯ ОСВІТИ АДМІНІСТРАЦЙІЇ РАЙОНУ ХАРКІВСЬКОЇ МІСЬКОЇ РАДИ ЩОДО ПОРЯДКУ ВЕДЕННЯ БУХГАЛТЕРСЬКОГО ОБЛІКУ</t>
  </si>
  <si>
    <t>Ведення касових операцій</t>
  </si>
  <si>
    <t>Наявність договору про повну матеріальну відповідальність за ведення каси і касових операцій та збереження цінностей в касі;</t>
  </si>
  <si>
    <t xml:space="preserve"> організація контролю за збереженням коштів: наявність актів перевірки каси; результати інвентаризації каси; дотримання строків проведення інвентаризації каси;</t>
  </si>
  <si>
    <t>дотримання вимог положення про ведення каси та касових операцій у національній валюті в Україні;</t>
  </si>
  <si>
    <t>дотримання лімітів готівки в касі; дотримання законодавства в частині своєчасності та  повноти оприбуткування готівки в касу; дотримання законодавства в ході списання готівки з каси;</t>
  </si>
  <si>
    <t>наявність та порядок ведення книги реєстрації прибуткових та видаткових ордерів, їх достовірність</t>
  </si>
  <si>
    <t>Утримання транспортних засобів та оплата транспортних послуг</t>
  </si>
  <si>
    <t>наявність встановленого ліміту на автотранспорт  та його дотримання;</t>
  </si>
  <si>
    <t>достовірність розрахунків на утримання автотранспорту;</t>
  </si>
  <si>
    <t>дотримання норм списання палива та паливно- мастильних матеріалів;</t>
  </si>
  <si>
    <t>наявність фактів використання автотранспорту не за призначенням;</t>
  </si>
  <si>
    <t>дотримання порядку оформлення подорожніх листів та їх облік;</t>
  </si>
  <si>
    <t>дотримання  законодавства при списанні шин, запчастин, оплаті послуг з обслуговуванню та ремонту автомобіля</t>
  </si>
  <si>
    <t>Розрахунки з підзвітними особами</t>
  </si>
  <si>
    <t>дотримання законодавства в частині відшкодування витрат на відрядження та інших витрат, проведених за рахунок підзвітних коштів</t>
  </si>
  <si>
    <t>своєчасне звітування про використання коштів, виданих у підзвіт, та повернення підзвітними особами невикористаної готівки в касу;</t>
  </si>
  <si>
    <t>наявність заборгованості по підзвітних сумах та причини їх виникнення</t>
  </si>
  <si>
    <t>Штатна дисципліна</t>
  </si>
  <si>
    <t>  дотримання законодавства при встановленні посадових окладів, тарифних ставок, доплат та надбавок при нарахуванні заробітної плати;</t>
  </si>
  <si>
    <t>дотримання законодавства при нарахуванні та виплаті працівникам премій, матеріальних допомог та інших заохочувальних виплат, щорічних відпусток, відпусток за період навчання, оплати праці сумісникам тощо;</t>
  </si>
  <si>
    <t>дотримання законодавства при нарахуванні та виплаті працівникам допомоги по тимчасовій непрацездатності;</t>
  </si>
  <si>
    <t>дотримання законодавства при здійсненні  обов’язкових платежів  до державних цільових фондів</t>
  </si>
  <si>
    <t>Стан використання та збереження необоротних активів та запасів</t>
  </si>
  <si>
    <t>наявність договорів про матеріальну відповідальність;</t>
  </si>
  <si>
    <t>результати інвентаризацій  необоротних активів та запасів, правильність оформлення та відображення в бухгалтерському обліку результатів інвентаризації;</t>
  </si>
  <si>
    <t>своєчасність, правильність та повнота оприбуткування  необоротних активів та запасів; дотримання законодавства при списанні необоротних активів та запасів;</t>
  </si>
  <si>
    <t>дотримання законодавства при нарахуванні зносу, проведенні індексації, дооцінок необоротних активів та запасів</t>
  </si>
  <si>
    <t>Стан розрахункової дисципліни</t>
  </si>
  <si>
    <t>суми дебіторської та кредиторської заборгованості, причини їх виникнення;  достовірність дебіторської та кредиторської заборгованості;</t>
  </si>
  <si>
    <t>дотримання строків та порядку проведення  інвентаризації розрахунків  та інших статей балансу;</t>
  </si>
  <si>
    <t>наявність простроченої дебіторської та кредиторської заборгованості, причини виникнення та вжиття  заходів для її ліквідації;</t>
  </si>
  <si>
    <t>відповідність вартості сплаченого товару, послуг, робіт укладеним договорам;</t>
  </si>
  <si>
    <t>Оплата комунальних послуг</t>
  </si>
  <si>
    <t>відповідність суми затвердженої на оплату комунальних послуг затвердженим натуральним показникам;</t>
  </si>
  <si>
    <t xml:space="preserve"> дотримання діючих цін та тарифів при оплаті комунальних послуг;</t>
  </si>
  <si>
    <t>наявність дебіторської та кредиторської заборгованості, причини виникнення  і шляхи погашення.</t>
  </si>
  <si>
    <t>Організація надання платних послуг</t>
  </si>
  <si>
    <t>Конкретність поставлених перед педагогічним колективом завдань щодо організації харчування учнів</t>
  </si>
  <si>
    <t>Оптимальність визначених строків</t>
  </si>
  <si>
    <t>Своєчасність видання наказів</t>
  </si>
  <si>
    <t>Правильність оформлення документів для надання безкоштовного харчування учням</t>
  </si>
  <si>
    <t xml:space="preserve">Класні журнали.
Журнали обліку безкоштовного харчування,
меню, перспективне меню
</t>
  </si>
  <si>
    <t xml:space="preserve">Оптимальність охоплення учнів гарячим харчуванням </t>
  </si>
  <si>
    <t>Правильність ведення обліку безкоштовного харчування у шкільній їдальні.</t>
  </si>
  <si>
    <t>Відповідність даних у звітах про безкоштовне харчування даним обліку у шкільній їдальні.</t>
  </si>
  <si>
    <t>Відповідність обліку безкоштовного харчування учнів у шкільній їдальні даним відвідування учнями навчальних занять.</t>
  </si>
  <si>
    <t xml:space="preserve"> Організація безкоштовного харчування учнів 1-х класів молоком</t>
  </si>
  <si>
    <t xml:space="preserve"> Організація питного режиму</t>
  </si>
  <si>
    <t xml:space="preserve"> Стан забезпечення кип`яченою водою </t>
  </si>
  <si>
    <t xml:space="preserve"> Дотримання санітарно – гігієнічних умов обідньої зали, харчоблоку</t>
  </si>
  <si>
    <t xml:space="preserve"> Наявність і стан обладнання харчоблоку (буфета).</t>
  </si>
  <si>
    <t>Кадрове забезпечення медичного обслуговування учнів</t>
  </si>
  <si>
    <t xml:space="preserve"> Забезпечення медпрацівниками відповідно до нормативних вимог</t>
  </si>
  <si>
    <t xml:space="preserve"> Наявність медсестри</t>
  </si>
  <si>
    <t xml:space="preserve"> Наявність лікаря</t>
  </si>
  <si>
    <t xml:space="preserve"> Правильність та своєчасність заповнення бракеражного журналу готової продукціїї</t>
  </si>
  <si>
    <t xml:space="preserve">Правильність та своєчасніть відбору щоденних проб </t>
  </si>
  <si>
    <t>Наявність розділу, заходів з питань експертизи, змістовність.</t>
  </si>
  <si>
    <t>Ґрунтовність аналізу роботи за минулий навчальний рік з питань експертизи.</t>
  </si>
  <si>
    <t xml:space="preserve">Нормативно-правове забезпечення </t>
  </si>
  <si>
    <t>наявність та рівень систематизації нормативно-правових документів: Указу Президента України від 28.01.2000 № 113 «Про додаткові заходи щодо запобігання дитячій бездоглядності»; Указу Президента України «Про додаткові заходи щодо запобігання дитячій бездоглядності» (із змінами і доповненнями, внесеними Указом Президента України від 13.11. 2001, № 1071/2001); наказів Міністерства освіти і науки України: від 01.02.2010 № 59 «Про вжиття заходів щодо запобігання насильству над дітьми»; від 29.10.2010 № 1023 «Щодо профілактики злочинності і правопорушень серед дітей, захисту їх прав на освіту», від 30.12.2010 № 1312 «Про затвердження плану заходів щодо реалізації Національної кампанії «Стоп насильство», від 30.12.2010 № 1313 «Про виконання розпорядження Кабінету міністрів України від 22 листопада 2010 року № 2140»;</t>
  </si>
  <si>
    <t>розгляд питання профілактики правопорушень та злочинів серед неповнолітніх на засіданнях педагогічної ради, нарадах при директорові, засіданнях методичного об’єднання класних керівників тощо</t>
  </si>
  <si>
    <t>аналіз стану роботи з профілактики злочинів та правопорушень серед неповнолітніх;</t>
  </si>
  <si>
    <t>наявність розроблених заходів, направлених на виконання законодавства з профілактики правопорушень та злочинів серед неповнолітніх;</t>
  </si>
  <si>
    <t>конкретність запланованих заходів, визначення термінів та відповідальних, відмітка про виконання, зберігання</t>
  </si>
  <si>
    <t>наявність наказу про закріплення громадського вихователя за учнями, схильними до скоєння правопорушень (за потребою).</t>
  </si>
  <si>
    <t>облік та аналіз відвідування навчальних занять учнями, зокрема, дітьми, схильними до скоєння правопорушень;</t>
  </si>
  <si>
    <t>індивідуальна робота з учнями, які пропускають заняття без поважних причин</t>
  </si>
  <si>
    <t>наявність списків учнів, сім’ї яких опинились у складних життєвих обставинах;</t>
  </si>
  <si>
    <t>наявність бази даних дітей, сім’ї яких опинились у складних життєвих обставинах (з даними про підлітка, його сім’ю, наявність актів обстеження сімей, їх періодичність, ким складені, робота закладу освіти з цією категорією сімей);</t>
  </si>
  <si>
    <t>наявність Положення про внутрішкільний контроль чи Критеріїв постановки на внутрішкільний облік;</t>
  </si>
  <si>
    <t>організація індивідуальної роботи з учнями, зазначених категорій.</t>
  </si>
  <si>
    <t xml:space="preserve">наявність Ради з профілактики правопорушень («опергрупи», комісії, штабу); </t>
  </si>
  <si>
    <t>наявність положення Про Раду з профілактики правопорушень;</t>
  </si>
  <si>
    <t>наявність та глибина аналізу роботи Ради;</t>
  </si>
  <si>
    <t>наявність плану роботи Ради (періодичність засідань, тематика, оперативне реагування, стислий аналіз, заслуховування класних керівників про індивідуальну роботу з учнями облікових категорій та їх сім’ями);</t>
  </si>
  <si>
    <t>стан реалізації запланованих заходів;</t>
  </si>
  <si>
    <t>наявність бази даних учнів девіантної поведінки та схильних до скоєння правопорушень;</t>
  </si>
  <si>
    <t>наявність психолого-педагогічних характеристик на неповнолітніх, які знаходяться на обліку;</t>
  </si>
  <si>
    <t>наявність плану роботи психолога з обліковою категорією дітей;</t>
  </si>
  <si>
    <t>залучення дітей зазначених категорій до роботи шкільних гуртків та секцій (відсоток від загальної кількості дітей зазначеної категорії);</t>
  </si>
  <si>
    <t>охоплення дітей даної категорії позашкільною освітою (відсоток від загальної кількості дітей зазначеної категорії);.</t>
  </si>
  <si>
    <t>наявність «куточку правової освіти»</t>
  </si>
  <si>
    <t>наявність плану проведення місячника (тижня, декади) правових знань;</t>
  </si>
  <si>
    <t>проведення тематичних вечорів, конкурсів, диспутів;</t>
  </si>
  <si>
    <t>участь у цих заходах учнів закладу, які перебувають на обліку в закладі або ВКМССД;</t>
  </si>
  <si>
    <t>участь органів учнівського самоврядування у даній роботі.</t>
  </si>
  <si>
    <t>наявність затверджених спільних планів та заходів (на який період складено план);</t>
  </si>
  <si>
    <t>ефективність реалізації запланованих заходів.</t>
  </si>
  <si>
    <t>планування роботи закладу та окремих класів;</t>
  </si>
  <si>
    <t>розгляд питань формування свідомої поведінки учнів та запобігання асоціальній поведінці на батьківських зборах;</t>
  </si>
  <si>
    <t>організація роботи батьківського лекторію, університету для батьків тощо;</t>
  </si>
  <si>
    <t>організація взаємодії закладу з батьками учнів, які перебувають на обліку.</t>
  </si>
  <si>
    <t>кількість учнів, що перебувають на внутрішкільному обліку (та відсоток від загальної кількості учнів);</t>
  </si>
  <si>
    <t>поставлено/знято учнів з внутрішкільного обліку у поточному році (та у порівнянні з минулим роком);</t>
  </si>
  <si>
    <t>перебувають на обліку у службі у справах дітей району у поточному році (та у порівнянні з минулим роком);</t>
  </si>
  <si>
    <t>поставлено/знято з обліку у службі у справах дітей району у поточному році (та у порівнянні з минулим роком);</t>
  </si>
  <si>
    <t>перебувають на обліку у відділі кримінальної міліції служби у справах дітей району у поточному році (та у порівнянні з минулим роком);</t>
  </si>
  <si>
    <t>поставлено/знято з обліку у відділі кримінальної міліції служби у справах дітей району у поточному році (та у порівнянні з минулим роком);</t>
  </si>
  <si>
    <t>кількість учнів, які скоїли правопорушення (та відсоток від загальної кількості учнів);</t>
  </si>
  <si>
    <t>кількість учнів, які скоїли злочини (та відсоток від загальної кількості учнів);</t>
  </si>
  <si>
    <t>кількість учнів, схильних до бродяжництва (та відсоток від загальної кількості учнів);</t>
  </si>
  <si>
    <t>кількість учнів зі шкідливими звичками та залежностями (та відсоток від загальної кількості учнів)</t>
  </si>
  <si>
    <t>Вивчення законодавчої та нормативної бази з даного питання</t>
  </si>
  <si>
    <t xml:space="preserve">Планування роботи </t>
  </si>
  <si>
    <t>F=</t>
  </si>
  <si>
    <t>Експертна оцінка, Кn</t>
  </si>
  <si>
    <t>Вагомість факторів, m</t>
  </si>
  <si>
    <t>Книга обліку педагогічних працівників</t>
  </si>
  <si>
    <t>Тарифікаційні документи
педагогічне навантаження:
- нормативність попередження про навантаження на наступний навчальний рік, ознайомлення педпрацівників,
 - рівномірність розподілу,
 - наявність погодження з профкомом,
- наявність заяв про згоду на неповне педнавантаження;
- нормативність тарифікації педпрацівників, яким надана відпустка для догляду за дитиною до досягнення нею трирічного віку
 - відповідність вимогам Інструкції про порядок обчислення заробітної плати працівників освіти;
 - нормативність тарифікаційних наказів (рішення тарифікаційної комісії, погодження з ПК)</t>
  </si>
  <si>
    <t>Правила внутрішнього трудового розпорядку закладу</t>
  </si>
  <si>
    <t>Колективний договір. Нормативність затвердження, відповідність чинному законодавству</t>
  </si>
  <si>
    <t>Організація роботи з кадрами</t>
  </si>
  <si>
    <t xml:space="preserve">Особові справи працівників
- відповідність кількості особових справ кількості працівників навчального закладу;
- наявність документів, систематизація;
- обґрунтованість і обумовленість розстановки кадрів за спеціальністю і освітою
</t>
  </si>
  <si>
    <t xml:space="preserve">Посадові інструкції
- відповідність нормативам,
- нормативність затвердження адміністрацією,
- наявність ознайомлення працівників
</t>
  </si>
  <si>
    <t>Графіки роботи адміністрації, обслуговуючого персоналу, розклад уроків, занять
- відповідність штатному розпису, законодавству (відпрацювання робочого часу, перерви на обід),
- нормативність затвердження розкладу уроків (погодження з ПК, СЕС), графіків роботи (погодження з ПК),
- оптимальність розкладу для педагогів,
- відповідність розкладу уроків робочому навчальному плану</t>
  </si>
  <si>
    <t>розгляд питання соціального захисту дітей пільгових категорій на засіданнях педагогічної ради, нарадах при директорові, засіданнях методичного об’єднання класних керівників тощо</t>
  </si>
  <si>
    <t>ознайомлення працівників школи з нормативними документами, що регулюють законодавство в галузі охорони дитинства</t>
  </si>
  <si>
    <t>аналіз стану роботи з питань соціального захисту учнів;</t>
  </si>
  <si>
    <t>наявність розроблених заходів, направлених на виконання законодавства з питань соціального захисту дітей</t>
  </si>
  <si>
    <t>наявність наказу про призначення громадського інспектора з охорони дитинства ( у закладах, де немає соціального педагога) (до 05 вересня);</t>
  </si>
  <si>
    <t>наявність протоколу Ради закладу про створення комісії з використання фонду загального обов’язкового навчання та наказу про затвердження складу комісії з використання фонду загального обов’язкового навчання (до 05 вересня)</t>
  </si>
  <si>
    <t>наявність наказу про організацію харчування (І, ІІ семестри);</t>
  </si>
  <si>
    <t>забезпечення безкоштовного харчування дітей пільгового контингенту, за рахунок батьківських коштів</t>
  </si>
  <si>
    <t>облік дітей пільгових категорій, соціальний паспорт класу, школи;</t>
  </si>
  <si>
    <t>нормативність оформлення особових справ дітей, наявність документів, які підтверджують статус дитини;</t>
  </si>
  <si>
    <t>наявність актів обстеження житлово-побутових умов проживання дитини;</t>
  </si>
  <si>
    <t>Проведення заходів, спрямованих на підвищення ефективності використання ресурсів мережі Інтернет навчальним закладом.</t>
  </si>
  <si>
    <r>
      <t xml:space="preserve">0,5 &lt; F ≤ 0,75 </t>
    </r>
    <r>
      <rPr>
        <sz val="12"/>
        <color indexed="8"/>
        <rFont val="Times New Roman"/>
        <family val="1"/>
        <charset val="204"/>
      </rPr>
      <t>– рівень середній;</t>
    </r>
  </si>
  <si>
    <r>
      <t xml:space="preserve">0,75 &lt; F ≤ 0,95 </t>
    </r>
    <r>
      <rPr>
        <sz val="12"/>
        <color indexed="8"/>
        <rFont val="Times New Roman"/>
        <family val="1"/>
        <charset val="204"/>
      </rPr>
      <t>– рівень достатній;</t>
    </r>
  </si>
  <si>
    <r>
      <t xml:space="preserve">0,95 &lt; F ≤ 1 </t>
    </r>
    <r>
      <rPr>
        <sz val="12"/>
        <color indexed="8"/>
        <rFont val="Times New Roman"/>
        <family val="1"/>
        <charset val="204"/>
      </rPr>
      <t>– рівень високий.</t>
    </r>
  </si>
  <si>
    <t>·   Нормативність ведення книг протоколів: 
а) апаратних нарад;
б) нарад з керівниками навчальних закладів.</t>
  </si>
  <si>
    <t>вивчення стану управлінської діяльності щодо нормативності ведення ділової документації у загальноосвітніх навчальних закладах І ступеня</t>
  </si>
  <si>
    <t>вивчення стану управлінської діяльності щодо нормативності ведення ділової документації у загальноосвітніх навчальних закладах  І-ІІІ ступеня</t>
  </si>
  <si>
    <t>Відповідність статутних положень і робочого навчального плану у частині мови навчання.</t>
  </si>
  <si>
    <r>
      <t>Нормативність видання наказів про зарахування учнів до 1-х</t>
    </r>
    <r>
      <rPr>
        <sz val="12"/>
        <color indexed="8"/>
        <rFont val="Times New Roman"/>
        <family val="1"/>
        <charset val="204"/>
      </rPr>
      <t xml:space="preserve"> класів, відповідність алфавітній книзі.</t>
    </r>
  </si>
  <si>
    <t>Нормативність видання наказів про нагородження учнів похвальними листами (відповідність положенням).</t>
  </si>
  <si>
    <t>Наявність і дотримання графіка атестації та перспективного плану підвищення кваліфікації педагогічних працівників.</t>
  </si>
  <si>
    <t xml:space="preserve">вивчення стану орендних та договірних стосунків  
з організаціями та суб’єктами підприємницької діяльності
</t>
  </si>
  <si>
    <t>наявність та рівень систематизації нормативно-правових документів</t>
  </si>
  <si>
    <t>аналіз стану роботи із заначеного питання</t>
  </si>
  <si>
    <t>наявність розроблених заходів, направлених на виконання законодавства</t>
  </si>
  <si>
    <t>Нормативність оформлення оренди та договірних відносин</t>
  </si>
  <si>
    <t>наявністьта нормативність укаладання 
договір про оренду (пролонгація)</t>
  </si>
  <si>
    <t>Організація роботи із зазначеного питання</t>
  </si>
  <si>
    <t>наявність та нормативність листів-погоджень (копіїї), якщо орендна площа перевищує 
100 кв.м..</t>
  </si>
  <si>
    <t>наявність установчих документів орендаря (статут, свідоцтво про реєстрацію, свідоцтво з кодами)</t>
  </si>
  <si>
    <t>наявінсть копій дозволіви СЕС 
та пожежної інспекції</t>
  </si>
  <si>
    <t>наявність копій свідоцтво 
про страхування приміщення</t>
  </si>
  <si>
    <t>контроль за цільовим використанням орендуємих приміщень</t>
  </si>
  <si>
    <t>контроль за відповідністю площі, зданої в оренду, фактично займаній</t>
  </si>
  <si>
    <t xml:space="preserve">контроль за своєчасністю внесення плати за оренду приміщення, за </t>
  </si>
  <si>
    <t>контроль за санітарним станом орендованих приміщень та прилеглих територій</t>
  </si>
  <si>
    <t>контроль за виконанням орендарями протипожежної безпеки у орендованих приміщеннях</t>
  </si>
  <si>
    <t>аналіз стану роботи із заначеного питання, навність підсумкового наказу по ЦО</t>
  </si>
  <si>
    <t>наявність планів дій органів управління, сил і структурних підрозділів в режимах повсякденної діяльності, підвищеної готовності, надзвичайної ситуації, надзвичайного стану</t>
  </si>
  <si>
    <t>наявність планів евакуації об’єкта в заміську зону  (план розосередження, де евакуаційні заходи не плануються)</t>
  </si>
  <si>
    <t>наявність схем управління, зв’язку, оповіщення і взаємодії</t>
  </si>
  <si>
    <t>Організація  і забезпечення захисту працівників</t>
  </si>
  <si>
    <t>рівень оснащення невоєнізованих формувань</t>
  </si>
  <si>
    <t>наявність розкладів і журналів обліку занять</t>
  </si>
  <si>
    <t>стан ведення журналів обліку підготовки
 керівного і командно-начальницького складу на курсах ЦО</t>
  </si>
  <si>
    <t xml:space="preserve">наявінсть та детальність планів  розвитку та удосконалення навчально-матеріальної бази ЦО </t>
  </si>
  <si>
    <t>підготовки, перепідготовки, 
підвищення кваліфікації і функціональне навчання керівного складу цивільної оборони</t>
  </si>
  <si>
    <t>визначення складу навчальних груп і керівників занять на навчальний рік</t>
  </si>
  <si>
    <t xml:space="preserve">наявність списків керівного, командно-начальницького складу, які підлягали навчанню на курсах ЦО </t>
  </si>
  <si>
    <t>наявність та стан розроблення тематики з підготовки керівного, особового складу невоєнізованих формувань ЦО, співробітників, які не входять у склад таких формувань</t>
  </si>
  <si>
    <t>наявність штатно-посадових списків
 невоєнізованих формувань ЦО</t>
  </si>
  <si>
    <t xml:space="preserve">Здійснення соціального захисту дітей </t>
  </si>
  <si>
    <t>Організація роботи з профілактики правопорушень та шкідливих звичок</t>
  </si>
  <si>
    <r>
      <t>вивчення стану управлінської діяльності щодо</t>
    </r>
    <r>
      <rPr>
        <sz val="12"/>
        <color indexed="8"/>
        <rFont val="Times New Roman"/>
        <family val="1"/>
        <charset val="204"/>
      </rPr>
      <t xml:space="preserve"> </t>
    </r>
    <r>
      <rPr>
        <b/>
        <sz val="12"/>
        <color indexed="8"/>
        <rFont val="Times New Roman"/>
        <family val="1"/>
        <charset val="204"/>
      </rPr>
      <t>організації закінчення навчального року та проведення державної підсумкової атестації в загальноосвітніх навчальних закладах усіх типів і форм власності м. Харкова</t>
    </r>
  </si>
  <si>
    <t>Правильність розрахунку середнього бала атестата.</t>
  </si>
  <si>
    <t>Наявність та нормативність заяв випускників на складання ДПА.</t>
  </si>
  <si>
    <t>Наявність та нормативність документів на звільнення учнів від ДПА.</t>
  </si>
  <si>
    <t>Наявність і змістовність, доступність інформаційних матеріалів щодо організації й проведення ЗНО й ДПА.</t>
  </si>
  <si>
    <t>Наявність розписів учнів при одержанні документа.</t>
  </si>
  <si>
    <t>Наявність та нормативність протоколу про представлення до нагородження золотою й срібною медалями учнів випускних 11-х класів (спільне засідання).</t>
  </si>
  <si>
    <t>4.</t>
  </si>
  <si>
    <t>5.  </t>
  </si>
  <si>
    <t>6.</t>
  </si>
  <si>
    <t>7. </t>
  </si>
  <si>
    <t>8. </t>
  </si>
  <si>
    <t>9.</t>
  </si>
  <si>
    <t>10.</t>
  </si>
  <si>
    <t>усього</t>
  </si>
  <si>
    <t>усього за фактором 1.1.</t>
  </si>
  <si>
    <t>усього за фактором 1.2.</t>
  </si>
  <si>
    <t>усього за фактором 1.3.</t>
  </si>
  <si>
    <t>усього за фактором 1.4.</t>
  </si>
  <si>
    <t>усього за фактором 1.5.</t>
  </si>
  <si>
    <t xml:space="preserve">усього за фактором 1.6. </t>
  </si>
  <si>
    <t>усього за фактором 1.7.</t>
  </si>
  <si>
    <t>Наявність і змістовність наказу по школі «Про облік дітей шкільного віку та закріплення території обслуговування за працівниками закладу на навчальний рік» (видається щороку).</t>
  </si>
  <si>
    <t>Стан організації контролю за відвідуванням учнями навчального закладу.</t>
  </si>
  <si>
    <t>Дієвість ужитих заходів з метою оформлення до навчання у В(З)Ш випускників 9-х класів, які навчаються в ПТНЗ, що не надають повної загальної середньої освіти.</t>
  </si>
  <si>
    <r>
      <t xml:space="preserve">Дієвість ужитих заходів щодо </t>
    </r>
    <r>
      <rPr>
        <b/>
        <sz val="12"/>
        <color indexed="8"/>
        <rFont val="Times New Roman"/>
        <family val="1"/>
        <charset val="204"/>
      </rPr>
      <t>залучення</t>
    </r>
    <r>
      <rPr>
        <sz val="12"/>
        <color indexed="8"/>
        <rFont val="Times New Roman"/>
        <family val="1"/>
        <charset val="204"/>
      </rPr>
      <t xml:space="preserve"> до навчання дітей, які не охоплені навчанням і щодо </t>
    </r>
    <r>
      <rPr>
        <b/>
        <sz val="12"/>
        <color indexed="8"/>
        <rFont val="Times New Roman"/>
        <family val="1"/>
        <charset val="204"/>
      </rPr>
      <t>повернення</t>
    </r>
    <r>
      <rPr>
        <sz val="12"/>
        <color indexed="8"/>
        <rFont val="Times New Roman"/>
        <family val="1"/>
        <charset val="204"/>
      </rPr>
      <t xml:space="preserve"> до навчання учнів, які не приступили на навчання до навчального закладу станом на 5 вересня.</t>
    </r>
  </si>
  <si>
    <t>Наявність позначень про вибуття і прибуття учнів.</t>
  </si>
  <si>
    <t>Наявність заяв батьків (з підписом директора і резолюцією: «до наказу»).</t>
  </si>
  <si>
    <t>Наявність копій свідоцтв про народження (завірені печаткою закладу і підписом директора).</t>
  </si>
  <si>
    <t>Наявність характеристики (після 1-го кл.).</t>
  </si>
  <si>
    <t>Наявність підсумкових оцінок за рік (печатка).</t>
  </si>
  <si>
    <t>Нормативність гранично допустимого навчального навантаження учнів.</t>
  </si>
  <si>
    <t xml:space="preserve"> 
 Книга протоколів засідань ради закладу
</t>
  </si>
  <si>
    <t>Здійснення громадського контролю за медичним обслуговуванням учнів.</t>
  </si>
  <si>
    <t xml:space="preserve"> Організація проведення медичних оглядів працівників</t>
  </si>
  <si>
    <t xml:space="preserve"> Наявність графіку проходження.</t>
  </si>
  <si>
    <t xml:space="preserve"> Своєчасність проходження профілактичних медичних оглядів працівниками.</t>
  </si>
  <si>
    <t xml:space="preserve"> Забезпечення медичного обслуговування учнів</t>
  </si>
  <si>
    <t>Наявність медсестри.</t>
  </si>
  <si>
    <t>Наявність лікаря.</t>
  </si>
  <si>
    <t>Впорядкованість медичних карт учнів, їх відповідність кількості учнів, списків.</t>
  </si>
  <si>
    <t>Наявність листків здоров’я, правильність їх заповнення.</t>
  </si>
  <si>
    <t xml:space="preserve">Аналіз стану проведення профілактичних медичних оглядів учнів перед початком навчального року, канікул. </t>
  </si>
  <si>
    <t xml:space="preserve">Аналіз стану проведення поглиблених профілактичних  медичних оглядів. </t>
  </si>
  <si>
    <t>Аналіз стану здоров’я учнів.</t>
  </si>
  <si>
    <t>Своєчасність доведення інформації про стан здоров’я батькам учнів за результатами  проведених поглиблених профілактичних медичних оглядів.</t>
  </si>
  <si>
    <t>Здійснення контролю за кадровим забезпеченням медичного обслуговування учнів.</t>
  </si>
  <si>
    <t xml:space="preserve"> Класні журнали</t>
  </si>
  <si>
    <t>Відповідність обліку пропущених уроків на предметних сторінках і в зведеному обліку відсутності учнів.</t>
  </si>
  <si>
    <t>Наявність та правильність заповнення згідно з нормативними вимогами листків здоров’я учнів.</t>
  </si>
  <si>
    <t xml:space="preserve"> Наявність , оснащення, розташування медичного кабінету</t>
  </si>
  <si>
    <t>Наявність  медичного кабінету (блоку).</t>
  </si>
  <si>
    <t>Своєчасність забезпечення медичного кабінету необхідними медикаментами;</t>
  </si>
  <si>
    <t>Стан обладнання  медичного кабінету згідно з вимогами Додатка № 5 «Державних санітарних правил і норм влаштування, утримання загальноосвітніх навчальних закладів та організації навчально-виховного процесу» ДСанПіН 5.5.2.001-08.</t>
  </si>
  <si>
    <t xml:space="preserve"> Розташування згідно з нормативними вимогами</t>
  </si>
  <si>
    <t>Стан обладнання меблями  навчальних кабінетів, класних кімнат, спальних приміщень для першокласників</t>
  </si>
  <si>
    <t xml:space="preserve"> Маркування</t>
  </si>
  <si>
    <t>Наявність мірної лінійки;</t>
  </si>
  <si>
    <t>Стан дощок (матові чи з блиском).</t>
  </si>
  <si>
    <t>Стан освітлення (природного, штучного)</t>
  </si>
  <si>
    <t>Розташування квітів;</t>
  </si>
  <si>
    <t xml:space="preserve"> Чистота вікон;</t>
  </si>
  <si>
    <t xml:space="preserve">Чистота  світильників;  </t>
  </si>
  <si>
    <t xml:space="preserve"> Наявність енергозберігаючих ламп</t>
  </si>
  <si>
    <t>Дотримання повітряно-теплового режиму</t>
  </si>
  <si>
    <t>Наявність запобіжної арматури на люмісцентних лампах</t>
  </si>
  <si>
    <t>Стан та розміщення  шкільних приміщень (навчальних кабінетів, лабораторій, класних кімнат, виробничих майстерень, приміщень для трудового навчання, харчоблоку, приміщень для організації продовженого дня)</t>
  </si>
  <si>
    <t>Організація щоденного 1,5-годинного денного сну для першокласників, які відвідують групи продовженого дня</t>
  </si>
  <si>
    <t>Організація роботи щодо проведення карантинних заходів</t>
  </si>
  <si>
    <t xml:space="preserve"> Організація санітарно-просвітницької роботи, санітарно-гігієнічної освіти </t>
  </si>
  <si>
    <t>Наявність сучасних інформаційних матеріалів з питань медичного обслуговування учнів.</t>
  </si>
  <si>
    <t xml:space="preserve"> Стан   санітарно-просвітницької роботи (наявність протоколів, наказів тощо)</t>
  </si>
  <si>
    <t xml:space="preserve"> Стан   гігієнічного навчання та виховання учнів</t>
  </si>
  <si>
    <t xml:space="preserve">                                                                        </t>
  </si>
  <si>
    <t>7.     </t>
  </si>
  <si>
    <t>8.     </t>
  </si>
  <si>
    <t>9.     </t>
  </si>
  <si>
    <r>
      <t>·</t>
    </r>
    <r>
      <rPr>
        <sz val="12"/>
        <color indexed="8"/>
        <rFont val="Times New Roman"/>
        <family val="1"/>
        <charset val="204"/>
      </rPr>
      <t>  Рівень контролю за виконанням прийнятих рішень. Системність та ефективність контролю за діяльністю виконавців.</t>
    </r>
  </si>
  <si>
    <r>
      <t>·</t>
    </r>
    <r>
      <rPr>
        <sz val="12"/>
        <color indexed="8"/>
        <rFont val="Times New Roman"/>
        <family val="1"/>
        <charset val="204"/>
      </rPr>
      <t>   Змістовність планування роботи колегії (ради); актуальність запланованих для розгляду питань.</t>
    </r>
  </si>
  <si>
    <r>
      <t>·</t>
    </r>
    <r>
      <rPr>
        <sz val="12"/>
        <color indexed="8"/>
        <rFont val="Times New Roman"/>
        <family val="1"/>
        <charset val="204"/>
      </rPr>
      <t xml:space="preserve">  Налагодженість зв’язків зі структурними підрозділами Адміністрації району міста та іншими територіальними відділами органів місцевого самоврядування та службами </t>
    </r>
  </si>
  <si>
    <r>
      <t>K</t>
    </r>
    <r>
      <rPr>
        <vertAlign val="subscript"/>
        <sz val="12"/>
        <color indexed="8"/>
        <rFont val="Times New Roman"/>
        <family val="1"/>
        <charset val="204"/>
      </rPr>
      <t>1</t>
    </r>
    <r>
      <rPr>
        <sz val="12"/>
        <color indexed="8"/>
        <rFont val="Times New Roman"/>
        <family val="1"/>
        <charset val="204"/>
      </rPr>
      <t>=</t>
    </r>
  </si>
  <si>
    <r>
      <t>K</t>
    </r>
    <r>
      <rPr>
        <vertAlign val="subscript"/>
        <sz val="12"/>
        <color indexed="8"/>
        <rFont val="Times New Roman"/>
        <family val="1"/>
        <charset val="204"/>
      </rPr>
      <t>2</t>
    </r>
    <r>
      <rPr>
        <sz val="12"/>
        <color indexed="8"/>
        <rFont val="Times New Roman"/>
        <family val="1"/>
        <charset val="204"/>
      </rPr>
      <t>=</t>
    </r>
  </si>
  <si>
    <r>
      <t>K</t>
    </r>
    <r>
      <rPr>
        <vertAlign val="subscript"/>
        <sz val="12"/>
        <color indexed="8"/>
        <rFont val="Times New Roman"/>
        <family val="1"/>
        <charset val="204"/>
      </rPr>
      <t>3</t>
    </r>
    <r>
      <rPr>
        <sz val="12"/>
        <color indexed="8"/>
        <rFont val="Times New Roman"/>
        <family val="1"/>
        <charset val="204"/>
      </rPr>
      <t>=</t>
    </r>
  </si>
  <si>
    <r>
      <t>K</t>
    </r>
    <r>
      <rPr>
        <vertAlign val="subscript"/>
        <sz val="12"/>
        <color indexed="8"/>
        <rFont val="Times New Roman"/>
        <family val="1"/>
        <charset val="204"/>
      </rPr>
      <t>4</t>
    </r>
    <r>
      <rPr>
        <sz val="12"/>
        <color indexed="8"/>
        <rFont val="Times New Roman"/>
        <family val="1"/>
        <charset val="204"/>
      </rPr>
      <t>=</t>
    </r>
  </si>
  <si>
    <r>
      <t>K</t>
    </r>
    <r>
      <rPr>
        <vertAlign val="subscript"/>
        <sz val="12"/>
        <color indexed="8"/>
        <rFont val="Times New Roman"/>
        <family val="1"/>
        <charset val="204"/>
      </rPr>
      <t>5</t>
    </r>
    <r>
      <rPr>
        <sz val="12"/>
        <color indexed="8"/>
        <rFont val="Times New Roman"/>
        <family val="1"/>
        <charset val="204"/>
      </rPr>
      <t>=</t>
    </r>
  </si>
  <si>
    <r>
      <t>K</t>
    </r>
    <r>
      <rPr>
        <vertAlign val="subscript"/>
        <sz val="12"/>
        <color indexed="8"/>
        <rFont val="Times New Roman"/>
        <family val="1"/>
        <charset val="204"/>
      </rPr>
      <t>6</t>
    </r>
    <r>
      <rPr>
        <sz val="12"/>
        <color indexed="8"/>
        <rFont val="Times New Roman"/>
        <family val="1"/>
        <charset val="204"/>
      </rPr>
      <t>=</t>
    </r>
  </si>
  <si>
    <r>
      <t>K</t>
    </r>
    <r>
      <rPr>
        <vertAlign val="subscript"/>
        <sz val="12"/>
        <color indexed="8"/>
        <rFont val="Times New Roman"/>
        <family val="1"/>
        <charset val="204"/>
      </rPr>
      <t>7</t>
    </r>
    <r>
      <rPr>
        <sz val="12"/>
        <color indexed="8"/>
        <rFont val="Times New Roman"/>
        <family val="1"/>
        <charset val="204"/>
      </rPr>
      <t>=</t>
    </r>
  </si>
  <si>
    <r>
      <t>K</t>
    </r>
    <r>
      <rPr>
        <vertAlign val="subscript"/>
        <sz val="12"/>
        <color indexed="8"/>
        <rFont val="Times New Roman"/>
        <family val="1"/>
        <charset val="204"/>
      </rPr>
      <t>8</t>
    </r>
    <r>
      <rPr>
        <sz val="12"/>
        <color indexed="8"/>
        <rFont val="Times New Roman"/>
        <family val="1"/>
        <charset val="204"/>
      </rPr>
      <t>=</t>
    </r>
  </si>
  <si>
    <r>
      <t>K</t>
    </r>
    <r>
      <rPr>
        <vertAlign val="subscript"/>
        <sz val="12"/>
        <color indexed="8"/>
        <rFont val="Times New Roman"/>
        <family val="1"/>
        <charset val="204"/>
      </rPr>
      <t>9</t>
    </r>
    <r>
      <rPr>
        <sz val="12"/>
        <color indexed="8"/>
        <rFont val="Times New Roman"/>
        <family val="1"/>
        <charset val="204"/>
      </rPr>
      <t>=</t>
    </r>
  </si>
  <si>
    <r>
      <t>K</t>
    </r>
    <r>
      <rPr>
        <vertAlign val="subscript"/>
        <sz val="12"/>
        <color indexed="8"/>
        <rFont val="Times New Roman"/>
        <family val="1"/>
        <charset val="204"/>
      </rPr>
      <t>10</t>
    </r>
    <r>
      <rPr>
        <sz val="12"/>
        <color indexed="8"/>
        <rFont val="Times New Roman"/>
        <family val="1"/>
        <charset val="204"/>
      </rPr>
      <t>=</t>
    </r>
  </si>
  <si>
    <r>
      <t>K</t>
    </r>
    <r>
      <rPr>
        <vertAlign val="subscript"/>
        <sz val="12"/>
        <color indexed="8"/>
        <rFont val="Times New Roman"/>
        <family val="1"/>
        <charset val="204"/>
      </rPr>
      <t>11</t>
    </r>
    <r>
      <rPr>
        <sz val="12"/>
        <color indexed="8"/>
        <rFont val="Times New Roman"/>
        <family val="1"/>
        <charset val="204"/>
      </rPr>
      <t>=</t>
    </r>
  </si>
  <si>
    <r>
      <t>K</t>
    </r>
    <r>
      <rPr>
        <vertAlign val="subscript"/>
        <sz val="12"/>
        <color indexed="8"/>
        <rFont val="Times New Roman"/>
        <family val="1"/>
        <charset val="204"/>
      </rPr>
      <t>12</t>
    </r>
    <r>
      <rPr>
        <sz val="12"/>
        <color indexed="8"/>
        <rFont val="Times New Roman"/>
        <family val="1"/>
        <charset val="204"/>
      </rPr>
      <t>=</t>
    </r>
  </si>
  <si>
    <r>
      <t>K</t>
    </r>
    <r>
      <rPr>
        <vertAlign val="subscript"/>
        <sz val="12"/>
        <color indexed="8"/>
        <rFont val="Times New Roman"/>
        <family val="1"/>
        <charset val="204"/>
      </rPr>
      <t>13</t>
    </r>
    <r>
      <rPr>
        <sz val="12"/>
        <color indexed="8"/>
        <rFont val="Times New Roman"/>
        <family val="1"/>
        <charset val="204"/>
      </rPr>
      <t>=</t>
    </r>
  </si>
  <si>
    <r>
      <t>K</t>
    </r>
    <r>
      <rPr>
        <vertAlign val="subscript"/>
        <sz val="12"/>
        <color indexed="8"/>
        <rFont val="Times New Roman"/>
        <family val="1"/>
        <charset val="204"/>
      </rPr>
      <t>14</t>
    </r>
    <r>
      <rPr>
        <sz val="12"/>
        <color indexed="8"/>
        <rFont val="Times New Roman"/>
        <family val="1"/>
        <charset val="204"/>
      </rPr>
      <t>=</t>
    </r>
  </si>
  <si>
    <r>
      <t>K</t>
    </r>
    <r>
      <rPr>
        <vertAlign val="subscript"/>
        <sz val="12"/>
        <color indexed="8"/>
        <rFont val="Times New Roman"/>
        <family val="1"/>
        <charset val="204"/>
      </rPr>
      <t>15</t>
    </r>
    <r>
      <rPr>
        <sz val="12"/>
        <color indexed="8"/>
        <rFont val="Times New Roman"/>
        <family val="1"/>
        <charset val="204"/>
      </rPr>
      <t>=</t>
    </r>
  </si>
  <si>
    <r>
      <t>K</t>
    </r>
    <r>
      <rPr>
        <vertAlign val="subscript"/>
        <sz val="12"/>
        <color indexed="8"/>
        <rFont val="Times New Roman"/>
        <family val="1"/>
        <charset val="204"/>
      </rPr>
      <t>16</t>
    </r>
    <r>
      <rPr>
        <sz val="12"/>
        <color indexed="8"/>
        <rFont val="Times New Roman"/>
        <family val="1"/>
        <charset val="204"/>
      </rPr>
      <t>=</t>
    </r>
  </si>
  <si>
    <r>
      <t>K</t>
    </r>
    <r>
      <rPr>
        <vertAlign val="subscript"/>
        <sz val="12"/>
        <color indexed="8"/>
        <rFont val="Times New Roman"/>
        <family val="1"/>
        <charset val="204"/>
      </rPr>
      <t>17</t>
    </r>
    <r>
      <rPr>
        <sz val="12"/>
        <color indexed="8"/>
        <rFont val="Times New Roman"/>
        <family val="1"/>
        <charset val="204"/>
      </rPr>
      <t>=</t>
    </r>
  </si>
  <si>
    <r>
      <t>K</t>
    </r>
    <r>
      <rPr>
        <vertAlign val="subscript"/>
        <sz val="12"/>
        <color indexed="8"/>
        <rFont val="Times New Roman"/>
        <family val="1"/>
        <charset val="204"/>
      </rPr>
      <t>18</t>
    </r>
    <r>
      <rPr>
        <sz val="12"/>
        <color indexed="8"/>
        <rFont val="Times New Roman"/>
        <family val="1"/>
        <charset val="204"/>
      </rPr>
      <t>=</t>
    </r>
  </si>
  <si>
    <r>
      <t>V</t>
    </r>
    <r>
      <rPr>
        <vertAlign val="subscript"/>
        <sz val="12"/>
        <color indexed="8"/>
        <rFont val="Times New Roman"/>
        <family val="1"/>
        <charset val="204"/>
      </rPr>
      <t>19</t>
    </r>
    <r>
      <rPr>
        <sz val="12"/>
        <color indexed="8"/>
        <rFont val="Times New Roman"/>
        <family val="1"/>
        <charset val="204"/>
      </rPr>
      <t>=</t>
    </r>
  </si>
  <si>
    <r>
      <t>K</t>
    </r>
    <r>
      <rPr>
        <vertAlign val="subscript"/>
        <sz val="12"/>
        <color indexed="8"/>
        <rFont val="Times New Roman"/>
        <family val="1"/>
        <charset val="204"/>
      </rPr>
      <t>19</t>
    </r>
    <r>
      <rPr>
        <sz val="12"/>
        <color indexed="8"/>
        <rFont val="Times New Roman"/>
        <family val="1"/>
        <charset val="204"/>
      </rPr>
      <t>=</t>
    </r>
  </si>
  <si>
    <r>
      <t>V</t>
    </r>
    <r>
      <rPr>
        <vertAlign val="subscript"/>
        <sz val="12"/>
        <color indexed="8"/>
        <rFont val="Times New Roman"/>
        <family val="1"/>
        <charset val="204"/>
      </rPr>
      <t>20</t>
    </r>
    <r>
      <rPr>
        <sz val="12"/>
        <color indexed="8"/>
        <rFont val="Times New Roman"/>
        <family val="1"/>
        <charset val="204"/>
      </rPr>
      <t>=</t>
    </r>
  </si>
  <si>
    <r>
      <t>K</t>
    </r>
    <r>
      <rPr>
        <vertAlign val="subscript"/>
        <sz val="12"/>
        <color indexed="8"/>
        <rFont val="Times New Roman"/>
        <family val="1"/>
        <charset val="204"/>
      </rPr>
      <t>20</t>
    </r>
    <r>
      <rPr>
        <sz val="12"/>
        <color indexed="8"/>
        <rFont val="Times New Roman"/>
        <family val="1"/>
        <charset val="204"/>
      </rPr>
      <t>=</t>
    </r>
  </si>
  <si>
    <r>
      <t>K</t>
    </r>
    <r>
      <rPr>
        <vertAlign val="subscript"/>
        <sz val="12"/>
        <color indexed="8"/>
        <rFont val="Times New Roman"/>
        <family val="1"/>
        <charset val="204"/>
      </rPr>
      <t>21</t>
    </r>
    <r>
      <rPr>
        <sz val="12"/>
        <color indexed="8"/>
        <rFont val="Times New Roman"/>
        <family val="1"/>
        <charset val="204"/>
      </rPr>
      <t>=</t>
    </r>
  </si>
  <si>
    <r>
      <t>K</t>
    </r>
    <r>
      <rPr>
        <vertAlign val="subscript"/>
        <sz val="12"/>
        <color indexed="8"/>
        <rFont val="Times New Roman"/>
        <family val="1"/>
        <charset val="204"/>
      </rPr>
      <t>22</t>
    </r>
    <r>
      <rPr>
        <sz val="12"/>
        <color indexed="8"/>
        <rFont val="Times New Roman"/>
        <family val="1"/>
        <charset val="204"/>
      </rPr>
      <t>=</t>
    </r>
  </si>
  <si>
    <r>
      <t>K</t>
    </r>
    <r>
      <rPr>
        <vertAlign val="subscript"/>
        <sz val="12"/>
        <color indexed="8"/>
        <rFont val="Times New Roman"/>
        <family val="1"/>
        <charset val="204"/>
      </rPr>
      <t>23</t>
    </r>
    <r>
      <rPr>
        <sz val="12"/>
        <color indexed="8"/>
        <rFont val="Times New Roman"/>
        <family val="1"/>
        <charset val="204"/>
      </rPr>
      <t>=</t>
    </r>
  </si>
  <si>
    <r>
      <t>K</t>
    </r>
    <r>
      <rPr>
        <vertAlign val="subscript"/>
        <sz val="12"/>
        <color indexed="8"/>
        <rFont val="Times New Roman"/>
        <family val="1"/>
        <charset val="204"/>
      </rPr>
      <t>24</t>
    </r>
    <r>
      <rPr>
        <sz val="12"/>
        <color indexed="8"/>
        <rFont val="Times New Roman"/>
        <family val="1"/>
        <charset val="204"/>
      </rPr>
      <t>=</t>
    </r>
  </si>
  <si>
    <r>
      <t>K</t>
    </r>
    <r>
      <rPr>
        <vertAlign val="subscript"/>
        <sz val="12"/>
        <color indexed="8"/>
        <rFont val="Times New Roman"/>
        <family val="1"/>
        <charset val="204"/>
      </rPr>
      <t>25</t>
    </r>
    <r>
      <rPr>
        <sz val="12"/>
        <color indexed="8"/>
        <rFont val="Times New Roman"/>
        <family val="1"/>
        <charset val="204"/>
      </rPr>
      <t>=</t>
    </r>
  </si>
  <si>
    <r>
      <t>K</t>
    </r>
    <r>
      <rPr>
        <vertAlign val="subscript"/>
        <sz val="12"/>
        <color indexed="8"/>
        <rFont val="Times New Roman"/>
        <family val="1"/>
        <charset val="204"/>
      </rPr>
      <t>26</t>
    </r>
    <r>
      <rPr>
        <sz val="12"/>
        <color indexed="8"/>
        <rFont val="Times New Roman"/>
        <family val="1"/>
        <charset val="204"/>
      </rPr>
      <t>=</t>
    </r>
  </si>
  <si>
    <r>
      <t>K</t>
    </r>
    <r>
      <rPr>
        <vertAlign val="subscript"/>
        <sz val="12"/>
        <color indexed="8"/>
        <rFont val="Times New Roman"/>
        <family val="1"/>
        <charset val="204"/>
      </rPr>
      <t>27</t>
    </r>
    <r>
      <rPr>
        <sz val="12"/>
        <color indexed="8"/>
        <rFont val="Times New Roman"/>
        <family val="1"/>
        <charset val="204"/>
      </rPr>
      <t>=</t>
    </r>
  </si>
  <si>
    <r>
      <t>K</t>
    </r>
    <r>
      <rPr>
        <vertAlign val="subscript"/>
        <sz val="12"/>
        <color indexed="8"/>
        <rFont val="Times New Roman"/>
        <family val="1"/>
        <charset val="204"/>
      </rPr>
      <t>28</t>
    </r>
    <r>
      <rPr>
        <sz val="12"/>
        <color indexed="8"/>
        <rFont val="Times New Roman"/>
        <family val="1"/>
        <charset val="204"/>
      </rPr>
      <t>=</t>
    </r>
  </si>
  <si>
    <r>
      <t>K</t>
    </r>
    <r>
      <rPr>
        <vertAlign val="subscript"/>
        <sz val="12"/>
        <color indexed="8"/>
        <rFont val="Times New Roman"/>
        <family val="1"/>
        <charset val="204"/>
      </rPr>
      <t>29</t>
    </r>
    <r>
      <rPr>
        <sz val="12"/>
        <color indexed="8"/>
        <rFont val="Times New Roman"/>
        <family val="1"/>
        <charset val="204"/>
      </rPr>
      <t>=</t>
    </r>
  </si>
  <si>
    <r>
      <t>K</t>
    </r>
    <r>
      <rPr>
        <vertAlign val="subscript"/>
        <sz val="12"/>
        <color indexed="8"/>
        <rFont val="Times New Roman"/>
        <family val="1"/>
        <charset val="204"/>
      </rPr>
      <t>30</t>
    </r>
    <r>
      <rPr>
        <sz val="12"/>
        <color indexed="8"/>
        <rFont val="Times New Roman"/>
        <family val="1"/>
        <charset val="204"/>
      </rPr>
      <t>=</t>
    </r>
  </si>
  <si>
    <r>
      <t>K</t>
    </r>
    <r>
      <rPr>
        <vertAlign val="subscript"/>
        <sz val="12"/>
        <color indexed="8"/>
        <rFont val="Times New Roman"/>
        <family val="1"/>
        <charset val="204"/>
      </rPr>
      <t>31</t>
    </r>
    <r>
      <rPr>
        <sz val="12"/>
        <color indexed="8"/>
        <rFont val="Times New Roman"/>
        <family val="1"/>
        <charset val="204"/>
      </rPr>
      <t>=</t>
    </r>
  </si>
  <si>
    <r>
      <t>K</t>
    </r>
    <r>
      <rPr>
        <vertAlign val="subscript"/>
        <sz val="12"/>
        <color indexed="8"/>
        <rFont val="Times New Roman"/>
        <family val="1"/>
        <charset val="204"/>
      </rPr>
      <t>32</t>
    </r>
    <r>
      <rPr>
        <sz val="12"/>
        <color indexed="8"/>
        <rFont val="Times New Roman"/>
        <family val="1"/>
        <charset val="204"/>
      </rPr>
      <t>=</t>
    </r>
  </si>
  <si>
    <r>
      <t>K</t>
    </r>
    <r>
      <rPr>
        <vertAlign val="subscript"/>
        <sz val="12"/>
        <color indexed="8"/>
        <rFont val="Times New Roman"/>
        <family val="1"/>
        <charset val="204"/>
      </rPr>
      <t>33</t>
    </r>
    <r>
      <rPr>
        <sz val="12"/>
        <color indexed="8"/>
        <rFont val="Times New Roman"/>
        <family val="1"/>
        <charset val="204"/>
      </rPr>
      <t>=</t>
    </r>
  </si>
  <si>
    <r>
      <t>K</t>
    </r>
    <r>
      <rPr>
        <vertAlign val="subscript"/>
        <sz val="12"/>
        <color indexed="8"/>
        <rFont val="Times New Roman"/>
        <family val="1"/>
        <charset val="204"/>
      </rPr>
      <t>34</t>
    </r>
    <r>
      <rPr>
        <sz val="12"/>
        <color indexed="8"/>
        <rFont val="Times New Roman"/>
        <family val="1"/>
        <charset val="204"/>
      </rPr>
      <t>=</t>
    </r>
  </si>
  <si>
    <r>
      <t>K</t>
    </r>
    <r>
      <rPr>
        <vertAlign val="subscript"/>
        <sz val="12"/>
        <color indexed="8"/>
        <rFont val="Times New Roman"/>
        <family val="1"/>
        <charset val="204"/>
      </rPr>
      <t>35</t>
    </r>
    <r>
      <rPr>
        <sz val="12"/>
        <color indexed="8"/>
        <rFont val="Times New Roman"/>
        <family val="1"/>
        <charset val="204"/>
      </rPr>
      <t>=</t>
    </r>
  </si>
  <si>
    <r>
      <t>K</t>
    </r>
    <r>
      <rPr>
        <vertAlign val="subscript"/>
        <sz val="12"/>
        <color indexed="8"/>
        <rFont val="Times New Roman"/>
        <family val="1"/>
        <charset val="204"/>
      </rPr>
      <t>36</t>
    </r>
    <r>
      <rPr>
        <sz val="12"/>
        <color indexed="8"/>
        <rFont val="Times New Roman"/>
        <family val="1"/>
        <charset val="204"/>
      </rPr>
      <t>=</t>
    </r>
  </si>
  <si>
    <r>
      <t>K</t>
    </r>
    <r>
      <rPr>
        <vertAlign val="subscript"/>
        <sz val="12"/>
        <color indexed="8"/>
        <rFont val="Times New Roman"/>
        <family val="1"/>
        <charset val="204"/>
      </rPr>
      <t>37</t>
    </r>
    <r>
      <rPr>
        <sz val="12"/>
        <color indexed="8"/>
        <rFont val="Times New Roman"/>
        <family val="1"/>
        <charset val="204"/>
      </rPr>
      <t>=</t>
    </r>
  </si>
  <si>
    <r>
      <t>K</t>
    </r>
    <r>
      <rPr>
        <vertAlign val="subscript"/>
        <sz val="12"/>
        <color indexed="8"/>
        <rFont val="Times New Roman"/>
        <family val="1"/>
        <charset val="204"/>
      </rPr>
      <t>38</t>
    </r>
    <r>
      <rPr>
        <sz val="12"/>
        <color indexed="8"/>
        <rFont val="Times New Roman"/>
        <family val="1"/>
        <charset val="204"/>
      </rPr>
      <t>=</t>
    </r>
  </si>
  <si>
    <r>
      <t>K</t>
    </r>
    <r>
      <rPr>
        <vertAlign val="subscript"/>
        <sz val="12"/>
        <color indexed="8"/>
        <rFont val="Times New Roman"/>
        <family val="1"/>
        <charset val="204"/>
      </rPr>
      <t>39</t>
    </r>
    <r>
      <rPr>
        <sz val="12"/>
        <color indexed="8"/>
        <rFont val="Times New Roman"/>
        <family val="1"/>
        <charset val="204"/>
      </rPr>
      <t>=</t>
    </r>
  </si>
  <si>
    <r>
      <t>K</t>
    </r>
    <r>
      <rPr>
        <vertAlign val="subscript"/>
        <sz val="12"/>
        <color indexed="8"/>
        <rFont val="Times New Roman"/>
        <family val="1"/>
        <charset val="204"/>
      </rPr>
      <t>40</t>
    </r>
    <r>
      <rPr>
        <sz val="12"/>
        <color indexed="8"/>
        <rFont val="Times New Roman"/>
        <family val="1"/>
        <charset val="204"/>
      </rPr>
      <t>=</t>
    </r>
  </si>
  <si>
    <r>
      <t>K</t>
    </r>
    <r>
      <rPr>
        <vertAlign val="subscript"/>
        <sz val="12"/>
        <color indexed="8"/>
        <rFont val="Times New Roman"/>
        <family val="1"/>
        <charset val="204"/>
      </rPr>
      <t>41</t>
    </r>
    <r>
      <rPr>
        <sz val="12"/>
        <color indexed="8"/>
        <rFont val="Times New Roman"/>
        <family val="1"/>
        <charset val="204"/>
      </rPr>
      <t>=</t>
    </r>
  </si>
  <si>
    <r>
      <t>K</t>
    </r>
    <r>
      <rPr>
        <vertAlign val="subscript"/>
        <sz val="12"/>
        <color indexed="8"/>
        <rFont val="Times New Roman"/>
        <family val="1"/>
        <charset val="204"/>
      </rPr>
      <t>42</t>
    </r>
    <r>
      <rPr>
        <sz val="12"/>
        <color indexed="8"/>
        <rFont val="Times New Roman"/>
        <family val="1"/>
        <charset val="204"/>
      </rPr>
      <t>=</t>
    </r>
  </si>
  <si>
    <r>
      <t>K</t>
    </r>
    <r>
      <rPr>
        <vertAlign val="subscript"/>
        <sz val="12"/>
        <color indexed="8"/>
        <rFont val="Times New Roman"/>
        <family val="1"/>
        <charset val="204"/>
      </rPr>
      <t>43</t>
    </r>
    <r>
      <rPr>
        <sz val="12"/>
        <color indexed="8"/>
        <rFont val="Times New Roman"/>
        <family val="1"/>
        <charset val="204"/>
      </rPr>
      <t>=</t>
    </r>
  </si>
  <si>
    <r>
      <t>K</t>
    </r>
    <r>
      <rPr>
        <vertAlign val="subscript"/>
        <sz val="12"/>
        <color indexed="8"/>
        <rFont val="Times New Roman"/>
        <family val="1"/>
        <charset val="204"/>
      </rPr>
      <t>44</t>
    </r>
    <r>
      <rPr>
        <sz val="12"/>
        <color indexed="8"/>
        <rFont val="Times New Roman"/>
        <family val="1"/>
        <charset val="204"/>
      </rPr>
      <t>=</t>
    </r>
  </si>
  <si>
    <r>
      <t>K</t>
    </r>
    <r>
      <rPr>
        <vertAlign val="subscript"/>
        <sz val="12"/>
        <color indexed="8"/>
        <rFont val="Times New Roman"/>
        <family val="1"/>
        <charset val="204"/>
      </rPr>
      <t>45</t>
    </r>
    <r>
      <rPr>
        <sz val="12"/>
        <color indexed="8"/>
        <rFont val="Times New Roman"/>
        <family val="1"/>
        <charset val="204"/>
      </rPr>
      <t>=</t>
    </r>
  </si>
  <si>
    <r>
      <t>K</t>
    </r>
    <r>
      <rPr>
        <vertAlign val="subscript"/>
        <sz val="12"/>
        <color indexed="8"/>
        <rFont val="Times New Roman"/>
        <family val="1"/>
        <charset val="204"/>
      </rPr>
      <t>46</t>
    </r>
    <r>
      <rPr>
        <sz val="12"/>
        <color indexed="8"/>
        <rFont val="Times New Roman"/>
        <family val="1"/>
        <charset val="204"/>
      </rPr>
      <t>=</t>
    </r>
  </si>
  <si>
    <r>
      <t>K</t>
    </r>
    <r>
      <rPr>
        <vertAlign val="subscript"/>
        <sz val="12"/>
        <color indexed="8"/>
        <rFont val="Times New Roman"/>
        <family val="1"/>
        <charset val="204"/>
      </rPr>
      <t>47</t>
    </r>
    <r>
      <rPr>
        <sz val="12"/>
        <color indexed="8"/>
        <rFont val="Times New Roman"/>
        <family val="1"/>
        <charset val="204"/>
      </rPr>
      <t>=</t>
    </r>
  </si>
  <si>
    <r>
      <t>K</t>
    </r>
    <r>
      <rPr>
        <vertAlign val="subscript"/>
        <sz val="12"/>
        <color indexed="8"/>
        <rFont val="Times New Roman"/>
        <family val="1"/>
        <charset val="204"/>
      </rPr>
      <t>48</t>
    </r>
    <r>
      <rPr>
        <sz val="12"/>
        <color indexed="8"/>
        <rFont val="Times New Roman"/>
        <family val="1"/>
        <charset val="204"/>
      </rPr>
      <t>=</t>
    </r>
  </si>
  <si>
    <r>
      <t>K</t>
    </r>
    <r>
      <rPr>
        <vertAlign val="subscript"/>
        <sz val="12"/>
        <color indexed="8"/>
        <rFont val="Times New Roman"/>
        <family val="1"/>
        <charset val="204"/>
      </rPr>
      <t>49</t>
    </r>
    <r>
      <rPr>
        <sz val="12"/>
        <color indexed="8"/>
        <rFont val="Times New Roman"/>
        <family val="1"/>
        <charset val="204"/>
      </rPr>
      <t>=</t>
    </r>
  </si>
  <si>
    <r>
      <t>Ф</t>
    </r>
    <r>
      <rPr>
        <vertAlign val="subscript"/>
        <sz val="12"/>
        <color indexed="8"/>
        <rFont val="Times New Roman"/>
        <family val="1"/>
        <charset val="204"/>
      </rPr>
      <t>5</t>
    </r>
    <r>
      <rPr>
        <sz val="12"/>
        <color indexed="8"/>
        <rFont val="Times New Roman"/>
        <family val="1"/>
        <charset val="204"/>
      </rPr>
      <t>=</t>
    </r>
  </si>
  <si>
    <r>
      <t>K</t>
    </r>
    <r>
      <rPr>
        <vertAlign val="subscript"/>
        <sz val="12"/>
        <color indexed="8"/>
        <rFont val="Times New Roman"/>
        <family val="1"/>
        <charset val="204"/>
      </rPr>
      <t>50</t>
    </r>
    <r>
      <rPr>
        <sz val="12"/>
        <color indexed="8"/>
        <rFont val="Times New Roman"/>
        <family val="1"/>
        <charset val="204"/>
      </rPr>
      <t>=</t>
    </r>
  </si>
  <si>
    <r>
      <t>K</t>
    </r>
    <r>
      <rPr>
        <vertAlign val="subscript"/>
        <sz val="12"/>
        <color indexed="8"/>
        <rFont val="Times New Roman"/>
        <family val="1"/>
        <charset val="204"/>
      </rPr>
      <t>51</t>
    </r>
    <r>
      <rPr>
        <sz val="12"/>
        <color indexed="8"/>
        <rFont val="Times New Roman"/>
        <family val="1"/>
        <charset val="204"/>
      </rPr>
      <t>=</t>
    </r>
  </si>
  <si>
    <r>
      <t>K</t>
    </r>
    <r>
      <rPr>
        <vertAlign val="subscript"/>
        <sz val="12"/>
        <color indexed="8"/>
        <rFont val="Times New Roman"/>
        <family val="1"/>
        <charset val="204"/>
      </rPr>
      <t>52</t>
    </r>
    <r>
      <rPr>
        <sz val="12"/>
        <color indexed="8"/>
        <rFont val="Times New Roman"/>
        <family val="1"/>
        <charset val="204"/>
      </rPr>
      <t>=</t>
    </r>
  </si>
  <si>
    <r>
      <t>K</t>
    </r>
    <r>
      <rPr>
        <vertAlign val="subscript"/>
        <sz val="12"/>
        <color indexed="8"/>
        <rFont val="Times New Roman"/>
        <family val="1"/>
        <charset val="204"/>
      </rPr>
      <t>53</t>
    </r>
    <r>
      <rPr>
        <sz val="12"/>
        <color indexed="8"/>
        <rFont val="Times New Roman"/>
        <family val="1"/>
        <charset val="204"/>
      </rPr>
      <t>=</t>
    </r>
  </si>
  <si>
    <r>
      <t>K</t>
    </r>
    <r>
      <rPr>
        <vertAlign val="subscript"/>
        <sz val="12"/>
        <color indexed="8"/>
        <rFont val="Times New Roman"/>
        <family val="1"/>
        <charset val="204"/>
      </rPr>
      <t>54</t>
    </r>
    <r>
      <rPr>
        <sz val="12"/>
        <color indexed="8"/>
        <rFont val="Times New Roman"/>
        <family val="1"/>
        <charset val="204"/>
      </rPr>
      <t>=</t>
    </r>
  </si>
  <si>
    <r>
      <t>K</t>
    </r>
    <r>
      <rPr>
        <vertAlign val="subscript"/>
        <sz val="12"/>
        <color indexed="8"/>
        <rFont val="Times New Roman"/>
        <family val="1"/>
        <charset val="204"/>
      </rPr>
      <t>55</t>
    </r>
    <r>
      <rPr>
        <sz val="12"/>
        <color indexed="8"/>
        <rFont val="Times New Roman"/>
        <family val="1"/>
        <charset val="204"/>
      </rPr>
      <t>=</t>
    </r>
  </si>
  <si>
    <r>
      <t>K</t>
    </r>
    <r>
      <rPr>
        <vertAlign val="subscript"/>
        <sz val="12"/>
        <color indexed="8"/>
        <rFont val="Times New Roman"/>
        <family val="1"/>
        <charset val="204"/>
      </rPr>
      <t>56</t>
    </r>
    <r>
      <rPr>
        <sz val="12"/>
        <color indexed="8"/>
        <rFont val="Times New Roman"/>
        <family val="1"/>
        <charset val="204"/>
      </rPr>
      <t>=</t>
    </r>
  </si>
  <si>
    <r>
      <t>K</t>
    </r>
    <r>
      <rPr>
        <vertAlign val="subscript"/>
        <sz val="12"/>
        <color indexed="8"/>
        <rFont val="Times New Roman"/>
        <family val="1"/>
        <charset val="204"/>
      </rPr>
      <t>57</t>
    </r>
    <r>
      <rPr>
        <sz val="12"/>
        <color indexed="8"/>
        <rFont val="Times New Roman"/>
        <family val="1"/>
        <charset val="204"/>
      </rPr>
      <t>=</t>
    </r>
  </si>
  <si>
    <r>
      <t>K</t>
    </r>
    <r>
      <rPr>
        <vertAlign val="subscript"/>
        <sz val="12"/>
        <color indexed="8"/>
        <rFont val="Times New Roman"/>
        <family val="1"/>
        <charset val="204"/>
      </rPr>
      <t>58</t>
    </r>
    <r>
      <rPr>
        <sz val="12"/>
        <color indexed="8"/>
        <rFont val="Times New Roman"/>
        <family val="1"/>
        <charset val="204"/>
      </rPr>
      <t>=</t>
    </r>
  </si>
  <si>
    <r>
      <t>K</t>
    </r>
    <r>
      <rPr>
        <vertAlign val="subscript"/>
        <sz val="12"/>
        <color indexed="8"/>
        <rFont val="Times New Roman"/>
        <family val="1"/>
        <charset val="204"/>
      </rPr>
      <t>59</t>
    </r>
    <r>
      <rPr>
        <sz val="12"/>
        <color indexed="8"/>
        <rFont val="Times New Roman"/>
        <family val="1"/>
        <charset val="204"/>
      </rPr>
      <t>=</t>
    </r>
  </si>
  <si>
    <r>
      <t>K</t>
    </r>
    <r>
      <rPr>
        <vertAlign val="subscript"/>
        <sz val="12"/>
        <color indexed="8"/>
        <rFont val="Times New Roman"/>
        <family val="1"/>
        <charset val="204"/>
      </rPr>
      <t>60</t>
    </r>
    <r>
      <rPr>
        <sz val="12"/>
        <color indexed="8"/>
        <rFont val="Times New Roman"/>
        <family val="1"/>
        <charset val="204"/>
      </rPr>
      <t>=</t>
    </r>
  </si>
  <si>
    <r>
      <t>K</t>
    </r>
    <r>
      <rPr>
        <vertAlign val="subscript"/>
        <sz val="12"/>
        <color indexed="8"/>
        <rFont val="Times New Roman"/>
        <family val="1"/>
        <charset val="204"/>
      </rPr>
      <t>61</t>
    </r>
    <r>
      <rPr>
        <sz val="12"/>
        <color indexed="8"/>
        <rFont val="Times New Roman"/>
        <family val="1"/>
        <charset val="204"/>
      </rPr>
      <t>=</t>
    </r>
  </si>
  <si>
    <r>
      <t>K</t>
    </r>
    <r>
      <rPr>
        <vertAlign val="subscript"/>
        <sz val="12"/>
        <color indexed="8"/>
        <rFont val="Times New Roman"/>
        <family val="1"/>
        <charset val="204"/>
      </rPr>
      <t>62</t>
    </r>
    <r>
      <rPr>
        <sz val="12"/>
        <color indexed="8"/>
        <rFont val="Times New Roman"/>
        <family val="1"/>
        <charset val="204"/>
      </rPr>
      <t>=</t>
    </r>
  </si>
  <si>
    <r>
      <t>K</t>
    </r>
    <r>
      <rPr>
        <vertAlign val="subscript"/>
        <sz val="12"/>
        <color indexed="8"/>
        <rFont val="Times New Roman"/>
        <family val="1"/>
        <charset val="204"/>
      </rPr>
      <t>63</t>
    </r>
    <r>
      <rPr>
        <sz val="12"/>
        <color indexed="8"/>
        <rFont val="Times New Roman"/>
        <family val="1"/>
        <charset val="204"/>
      </rPr>
      <t>=</t>
    </r>
  </si>
  <si>
    <r>
      <t>K</t>
    </r>
    <r>
      <rPr>
        <vertAlign val="subscript"/>
        <sz val="12"/>
        <color indexed="8"/>
        <rFont val="Times New Roman"/>
        <family val="1"/>
        <charset val="204"/>
      </rPr>
      <t>64</t>
    </r>
    <r>
      <rPr>
        <sz val="12"/>
        <color indexed="8"/>
        <rFont val="Times New Roman"/>
        <family val="1"/>
        <charset val="204"/>
      </rPr>
      <t>=</t>
    </r>
  </si>
  <si>
    <r>
      <t>K</t>
    </r>
    <r>
      <rPr>
        <vertAlign val="subscript"/>
        <sz val="12"/>
        <color indexed="8"/>
        <rFont val="Times New Roman"/>
        <family val="1"/>
        <charset val="204"/>
      </rPr>
      <t>65</t>
    </r>
    <r>
      <rPr>
        <sz val="12"/>
        <color indexed="8"/>
        <rFont val="Times New Roman"/>
        <family val="1"/>
        <charset val="204"/>
      </rPr>
      <t>=</t>
    </r>
  </si>
  <si>
    <r>
      <t>K</t>
    </r>
    <r>
      <rPr>
        <vertAlign val="subscript"/>
        <sz val="12"/>
        <color indexed="8"/>
        <rFont val="Times New Roman"/>
        <family val="1"/>
        <charset val="204"/>
      </rPr>
      <t>66</t>
    </r>
    <r>
      <rPr>
        <sz val="12"/>
        <color indexed="8"/>
        <rFont val="Times New Roman"/>
        <family val="1"/>
        <charset val="204"/>
      </rPr>
      <t>=</t>
    </r>
  </si>
  <si>
    <r>
      <t>K</t>
    </r>
    <r>
      <rPr>
        <vertAlign val="subscript"/>
        <sz val="12"/>
        <color indexed="8"/>
        <rFont val="Times New Roman"/>
        <family val="1"/>
        <charset val="204"/>
      </rPr>
      <t>67</t>
    </r>
    <r>
      <rPr>
        <sz val="12"/>
        <color indexed="8"/>
        <rFont val="Times New Roman"/>
        <family val="1"/>
        <charset val="204"/>
      </rPr>
      <t>=</t>
    </r>
  </si>
  <si>
    <r>
      <t xml:space="preserve">* </t>
    </r>
    <r>
      <rPr>
        <sz val="12"/>
        <color indexed="8"/>
        <rFont val="Times New Roman"/>
        <family val="1"/>
        <charset val="204"/>
      </rPr>
      <t>вагомість, m для всіх типів ПНЗ крім ДЮСШ.</t>
    </r>
  </si>
  <si>
    <r>
      <t xml:space="preserve">** </t>
    </r>
    <r>
      <rPr>
        <sz val="12"/>
        <color indexed="8"/>
        <rFont val="Times New Roman"/>
        <family val="1"/>
        <charset val="204"/>
      </rPr>
      <t>всі показники розділу «Медичний кабінет» будуть враховуватись при визначенні рівня ДЮСШ, для всіх інших ПНЗ, буде враховано наявність (0,3) та укомплектованість (0,7) аптечок першої невідкладної допомоги.</t>
    </r>
  </si>
  <si>
    <r>
      <t xml:space="preserve">експертизи (вивчення) </t>
    </r>
    <r>
      <rPr>
        <b/>
        <sz val="12"/>
        <color indexed="8"/>
        <rFont val="Times New Roman"/>
        <family val="1"/>
        <charset val="204"/>
      </rPr>
      <t>стану управлінської діяльності щодо організації навчання за екстернатною формою</t>
    </r>
  </si>
  <si>
    <r>
      <t xml:space="preserve">ПРОТОКОЛ 
</t>
    </r>
    <r>
      <rPr>
        <b/>
        <sz val="12"/>
        <color indexed="8"/>
        <rFont val="Times New Roman"/>
        <family val="1"/>
        <charset val="204"/>
      </rPr>
      <t>експертизи (вивчення) стану управлінської діяльності щодо організації навчання за індивідуальною формою</t>
    </r>
  </si>
  <si>
    <r>
      <t>3.</t>
    </r>
    <r>
      <rPr>
        <sz val="12"/>
        <color indexed="8"/>
        <rFont val="Times New Roman"/>
        <family val="1"/>
        <charset val="204"/>
      </rPr>
      <t>Розгляд питання організації індивідуального навчання на засіданнях педагогічної ради, нарадах при директорові, засіданнях методичного об’єднання класних керівників тощо</t>
    </r>
  </si>
  <si>
    <r>
      <t>4. Здійснення обліку учнів відповідно до «Інструкції з обліку дітей і підлітків шкільного віку» від 12.04.2000 № 646: наявність списків дітей та підлітків шкільного віку з вадами розумового та фізичного розвитку</t>
    </r>
    <r>
      <rPr>
        <sz val="12"/>
        <color indexed="8"/>
        <rFont val="Times New Roman"/>
        <family val="1"/>
        <charset val="204"/>
      </rPr>
      <t>.</t>
    </r>
  </si>
  <si>
    <r>
      <t xml:space="preserve">5.Наявність пакету документів, які є підставою для організації індивідуального навчання учнів за станом здоров’я: 
</t>
    </r>
    <r>
      <rPr>
        <sz val="12"/>
        <color indexed="8"/>
        <rFont val="Times New Roman"/>
        <family val="1"/>
        <charset val="204"/>
      </rPr>
      <t>заяви батьків або осіб, які їх замінюють; 
довідки, завіреної печаткою лікарсько-консультативної комісії та печаткою лікувального закладу; 
погодження управління освіти адміністрації району Харківської міської ради; 
наказу директора.</t>
    </r>
  </si>
  <si>
    <r>
      <t xml:space="preserve">6. Наявність пакету документів, які є підставою для організації індивідуального навчання учнів, яким збільшено кількість годин: 
</t>
    </r>
    <r>
      <rPr>
        <sz val="12"/>
        <color indexed="8"/>
        <rFont val="Times New Roman"/>
        <family val="1"/>
        <charset val="204"/>
      </rPr>
      <t>заяви батьків або осіб, які їх замінюють, 
довідки, завіреної печаткою лікарсько-консультативної комісії та печаткою лікувального закладу; 
рекомендації обласної Центральної психолого-медико-педагогічної комісії або посвідчення інваліда,
погодження управління освіти адміністрації району Харківської міської ради; 
наказу директора.</t>
    </r>
  </si>
  <si>
    <r>
      <t xml:space="preserve">7. Індивідуальні навчальні плани: 
</t>
    </r>
    <r>
      <rPr>
        <sz val="12"/>
        <color indexed="8"/>
        <rFont val="Times New Roman"/>
        <family val="1"/>
        <charset val="204"/>
      </rPr>
      <t>наявність; 
відповідність робочому навчальному плану даного класу.</t>
    </r>
  </si>
  <si>
    <r>
      <t xml:space="preserve">8. Індивідуальні програми: 
</t>
    </r>
    <r>
      <rPr>
        <sz val="12"/>
        <color indexed="8"/>
        <rFont val="Times New Roman"/>
        <family val="1"/>
        <charset val="204"/>
      </rPr>
      <t>наявність, 
відповідність загальним програмам</t>
    </r>
  </si>
  <si>
    <r>
      <t xml:space="preserve">9. Розклад занять: 
</t>
    </r>
    <r>
      <rPr>
        <sz val="12"/>
        <color indexed="8"/>
        <rFont val="Times New Roman"/>
        <family val="1"/>
        <charset val="204"/>
      </rPr>
      <t>наявність письмового погодження з батьками учнів,
відповідність індивідуальному навчальному плану.</t>
    </r>
  </si>
  <si>
    <r>
      <t xml:space="preserve">10. Журнал: 
</t>
    </r>
    <r>
      <rPr>
        <sz val="12"/>
        <color indexed="8"/>
        <rFont val="Times New Roman"/>
        <family val="1"/>
        <charset val="204"/>
      </rPr>
      <t>відповідність встановленому зразку, 
нормативність оформлення; 
нормативність оцінювання навчальних досягнень учня.</t>
    </r>
  </si>
  <si>
    <r>
      <t>12.</t>
    </r>
    <r>
      <rPr>
        <sz val="12"/>
        <color indexed="8"/>
        <rFont val="Times New Roman"/>
        <family val="1"/>
        <charset val="204"/>
      </rPr>
      <t xml:space="preserve"> Аналітичні матеріали, планування роботи щодо організації та контролю за організацією індивідуального навчання</t>
    </r>
  </si>
  <si>
    <r>
      <t>m</t>
    </r>
    <r>
      <rPr>
        <vertAlign val="subscript"/>
        <sz val="12"/>
        <color indexed="8"/>
        <rFont val="Times New Roman"/>
        <family val="1"/>
        <charset val="204"/>
      </rPr>
      <t>1</t>
    </r>
    <r>
      <rPr>
        <sz val="12"/>
        <color indexed="8"/>
        <rFont val="Times New Roman"/>
        <family val="1"/>
        <charset val="204"/>
      </rPr>
      <t xml:space="preserve"> =</t>
    </r>
  </si>
  <si>
    <r>
      <t>V</t>
    </r>
    <r>
      <rPr>
        <vertAlign val="subscript"/>
        <sz val="12"/>
        <color indexed="8"/>
        <rFont val="Times New Roman"/>
        <family val="1"/>
        <charset val="204"/>
      </rPr>
      <t xml:space="preserve">1 </t>
    </r>
    <r>
      <rPr>
        <sz val="12"/>
        <color indexed="8"/>
        <rFont val="Times New Roman"/>
        <family val="1"/>
        <charset val="204"/>
      </rPr>
      <t>=</t>
    </r>
  </si>
  <si>
    <r>
      <t>K</t>
    </r>
    <r>
      <rPr>
        <vertAlign val="subscript"/>
        <sz val="12"/>
        <color indexed="8"/>
        <rFont val="Times New Roman"/>
        <family val="1"/>
        <charset val="204"/>
      </rPr>
      <t xml:space="preserve">1 </t>
    </r>
    <r>
      <rPr>
        <sz val="12"/>
        <color indexed="8"/>
        <rFont val="Times New Roman"/>
        <family val="1"/>
        <charset val="204"/>
      </rPr>
      <t>=</t>
    </r>
  </si>
  <si>
    <r>
      <t>V</t>
    </r>
    <r>
      <rPr>
        <vertAlign val="subscript"/>
        <sz val="12"/>
        <color indexed="8"/>
        <rFont val="Times New Roman"/>
        <family val="1"/>
        <charset val="204"/>
      </rPr>
      <t xml:space="preserve">2 </t>
    </r>
    <r>
      <rPr>
        <sz val="12"/>
        <color indexed="8"/>
        <rFont val="Times New Roman"/>
        <family val="1"/>
        <charset val="204"/>
      </rPr>
      <t>=</t>
    </r>
  </si>
  <si>
    <r>
      <t>K</t>
    </r>
    <r>
      <rPr>
        <vertAlign val="subscript"/>
        <sz val="12"/>
        <color indexed="8"/>
        <rFont val="Times New Roman"/>
        <family val="1"/>
        <charset val="204"/>
      </rPr>
      <t xml:space="preserve">2 </t>
    </r>
    <r>
      <rPr>
        <sz val="12"/>
        <color indexed="8"/>
        <rFont val="Times New Roman"/>
        <family val="1"/>
        <charset val="204"/>
      </rPr>
      <t>=</t>
    </r>
  </si>
  <si>
    <r>
      <t>V</t>
    </r>
    <r>
      <rPr>
        <vertAlign val="subscript"/>
        <sz val="12"/>
        <color indexed="8"/>
        <rFont val="Times New Roman"/>
        <family val="1"/>
        <charset val="204"/>
      </rPr>
      <t xml:space="preserve">3 </t>
    </r>
    <r>
      <rPr>
        <sz val="12"/>
        <color indexed="8"/>
        <rFont val="Times New Roman"/>
        <family val="1"/>
        <charset val="204"/>
      </rPr>
      <t>=</t>
    </r>
  </si>
  <si>
    <r>
      <t>K</t>
    </r>
    <r>
      <rPr>
        <vertAlign val="subscript"/>
        <sz val="12"/>
        <color indexed="8"/>
        <rFont val="Times New Roman"/>
        <family val="1"/>
        <charset val="204"/>
      </rPr>
      <t xml:space="preserve">3 </t>
    </r>
    <r>
      <rPr>
        <sz val="12"/>
        <color indexed="8"/>
        <rFont val="Times New Roman"/>
        <family val="1"/>
        <charset val="204"/>
      </rPr>
      <t>=</t>
    </r>
  </si>
  <si>
    <r>
      <t>V</t>
    </r>
    <r>
      <rPr>
        <vertAlign val="subscript"/>
        <sz val="12"/>
        <color indexed="8"/>
        <rFont val="Times New Roman"/>
        <family val="1"/>
        <charset val="204"/>
      </rPr>
      <t xml:space="preserve">4 </t>
    </r>
    <r>
      <rPr>
        <sz val="12"/>
        <color indexed="8"/>
        <rFont val="Times New Roman"/>
        <family val="1"/>
        <charset val="204"/>
      </rPr>
      <t>=</t>
    </r>
  </si>
  <si>
    <r>
      <t>K</t>
    </r>
    <r>
      <rPr>
        <vertAlign val="subscript"/>
        <sz val="12"/>
        <color indexed="8"/>
        <rFont val="Times New Roman"/>
        <family val="1"/>
        <charset val="204"/>
      </rPr>
      <t xml:space="preserve">4 </t>
    </r>
    <r>
      <rPr>
        <sz val="12"/>
        <color indexed="8"/>
        <rFont val="Times New Roman"/>
        <family val="1"/>
        <charset val="204"/>
      </rPr>
      <t>=</t>
    </r>
  </si>
  <si>
    <r>
      <t>V</t>
    </r>
    <r>
      <rPr>
        <vertAlign val="subscript"/>
        <sz val="12"/>
        <color indexed="8"/>
        <rFont val="Times New Roman"/>
        <family val="1"/>
        <charset val="204"/>
      </rPr>
      <t xml:space="preserve">5 </t>
    </r>
    <r>
      <rPr>
        <sz val="12"/>
        <color indexed="8"/>
        <rFont val="Times New Roman"/>
        <family val="1"/>
        <charset val="204"/>
      </rPr>
      <t>=</t>
    </r>
  </si>
  <si>
    <r>
      <t>K</t>
    </r>
    <r>
      <rPr>
        <vertAlign val="subscript"/>
        <sz val="12"/>
        <color indexed="8"/>
        <rFont val="Times New Roman"/>
        <family val="1"/>
        <charset val="204"/>
      </rPr>
      <t xml:space="preserve">5 </t>
    </r>
    <r>
      <rPr>
        <sz val="12"/>
        <color indexed="8"/>
        <rFont val="Times New Roman"/>
        <family val="1"/>
        <charset val="204"/>
      </rPr>
      <t>=</t>
    </r>
  </si>
  <si>
    <r>
      <t>V</t>
    </r>
    <r>
      <rPr>
        <vertAlign val="subscript"/>
        <sz val="12"/>
        <color indexed="8"/>
        <rFont val="Times New Roman"/>
        <family val="1"/>
        <charset val="204"/>
      </rPr>
      <t xml:space="preserve">6 </t>
    </r>
    <r>
      <rPr>
        <sz val="12"/>
        <color indexed="8"/>
        <rFont val="Times New Roman"/>
        <family val="1"/>
        <charset val="204"/>
      </rPr>
      <t>=</t>
    </r>
  </si>
  <si>
    <r>
      <t>K</t>
    </r>
    <r>
      <rPr>
        <vertAlign val="subscript"/>
        <sz val="12"/>
        <color indexed="8"/>
        <rFont val="Times New Roman"/>
        <family val="1"/>
        <charset val="204"/>
      </rPr>
      <t xml:space="preserve">6 </t>
    </r>
    <r>
      <rPr>
        <sz val="12"/>
        <color indexed="8"/>
        <rFont val="Times New Roman"/>
        <family val="1"/>
        <charset val="204"/>
      </rPr>
      <t>=</t>
    </r>
  </si>
  <si>
    <r>
      <t>m</t>
    </r>
    <r>
      <rPr>
        <vertAlign val="subscript"/>
        <sz val="12"/>
        <color indexed="8"/>
        <rFont val="Times New Roman"/>
        <family val="1"/>
        <charset val="204"/>
      </rPr>
      <t xml:space="preserve">2 </t>
    </r>
    <r>
      <rPr>
        <sz val="12"/>
        <color indexed="8"/>
        <rFont val="Times New Roman"/>
        <family val="1"/>
        <charset val="204"/>
      </rPr>
      <t xml:space="preserve">= </t>
    </r>
  </si>
  <si>
    <r>
      <t>V</t>
    </r>
    <r>
      <rPr>
        <vertAlign val="subscript"/>
        <sz val="12"/>
        <color indexed="8"/>
        <rFont val="Times New Roman"/>
        <family val="1"/>
        <charset val="204"/>
      </rPr>
      <t xml:space="preserve">7 </t>
    </r>
    <r>
      <rPr>
        <sz val="12"/>
        <color indexed="8"/>
        <rFont val="Times New Roman"/>
        <family val="1"/>
        <charset val="204"/>
      </rPr>
      <t>=</t>
    </r>
  </si>
  <si>
    <r>
      <t>K</t>
    </r>
    <r>
      <rPr>
        <vertAlign val="subscript"/>
        <sz val="12"/>
        <color indexed="8"/>
        <rFont val="Times New Roman"/>
        <family val="1"/>
        <charset val="204"/>
      </rPr>
      <t xml:space="preserve">7 </t>
    </r>
    <r>
      <rPr>
        <sz val="12"/>
        <color indexed="8"/>
        <rFont val="Times New Roman"/>
        <family val="1"/>
        <charset val="204"/>
      </rPr>
      <t>=</t>
    </r>
  </si>
  <si>
    <r>
      <t>V</t>
    </r>
    <r>
      <rPr>
        <vertAlign val="subscript"/>
        <sz val="12"/>
        <color indexed="8"/>
        <rFont val="Times New Roman"/>
        <family val="1"/>
        <charset val="204"/>
      </rPr>
      <t xml:space="preserve">8 </t>
    </r>
    <r>
      <rPr>
        <sz val="12"/>
        <color indexed="8"/>
        <rFont val="Times New Roman"/>
        <family val="1"/>
        <charset val="204"/>
      </rPr>
      <t>=</t>
    </r>
  </si>
  <si>
    <r>
      <t>K</t>
    </r>
    <r>
      <rPr>
        <vertAlign val="subscript"/>
        <sz val="12"/>
        <color indexed="8"/>
        <rFont val="Times New Roman"/>
        <family val="1"/>
        <charset val="204"/>
      </rPr>
      <t xml:space="preserve">8 </t>
    </r>
    <r>
      <rPr>
        <sz val="12"/>
        <color indexed="8"/>
        <rFont val="Times New Roman"/>
        <family val="1"/>
        <charset val="204"/>
      </rPr>
      <t>=</t>
    </r>
  </si>
  <si>
    <r>
      <t>V</t>
    </r>
    <r>
      <rPr>
        <vertAlign val="subscript"/>
        <sz val="12"/>
        <color indexed="8"/>
        <rFont val="Times New Roman"/>
        <family val="1"/>
        <charset val="204"/>
      </rPr>
      <t xml:space="preserve">9 </t>
    </r>
    <r>
      <rPr>
        <sz val="12"/>
        <color indexed="8"/>
        <rFont val="Times New Roman"/>
        <family val="1"/>
        <charset val="204"/>
      </rPr>
      <t>=</t>
    </r>
  </si>
  <si>
    <r>
      <t>K</t>
    </r>
    <r>
      <rPr>
        <vertAlign val="subscript"/>
        <sz val="12"/>
        <color indexed="8"/>
        <rFont val="Times New Roman"/>
        <family val="1"/>
        <charset val="204"/>
      </rPr>
      <t xml:space="preserve">9 </t>
    </r>
    <r>
      <rPr>
        <sz val="12"/>
        <color indexed="8"/>
        <rFont val="Times New Roman"/>
        <family val="1"/>
        <charset val="204"/>
      </rPr>
      <t>=</t>
    </r>
  </si>
  <si>
    <r>
      <t>m</t>
    </r>
    <r>
      <rPr>
        <vertAlign val="subscript"/>
        <sz val="12"/>
        <color indexed="8"/>
        <rFont val="Times New Roman"/>
        <family val="1"/>
        <charset val="204"/>
      </rPr>
      <t>3</t>
    </r>
    <r>
      <rPr>
        <sz val="12"/>
        <color indexed="8"/>
        <rFont val="Times New Roman"/>
        <family val="1"/>
        <charset val="204"/>
      </rPr>
      <t xml:space="preserve"> = </t>
    </r>
  </si>
  <si>
    <r>
      <t>V</t>
    </r>
    <r>
      <rPr>
        <vertAlign val="subscript"/>
        <sz val="12"/>
        <color indexed="8"/>
        <rFont val="Times New Roman"/>
        <family val="1"/>
        <charset val="204"/>
      </rPr>
      <t xml:space="preserve">10 </t>
    </r>
    <r>
      <rPr>
        <sz val="12"/>
        <color indexed="8"/>
        <rFont val="Times New Roman"/>
        <family val="1"/>
        <charset val="204"/>
      </rPr>
      <t>=</t>
    </r>
  </si>
  <si>
    <r>
      <t>K</t>
    </r>
    <r>
      <rPr>
        <vertAlign val="subscript"/>
        <sz val="12"/>
        <color indexed="8"/>
        <rFont val="Times New Roman"/>
        <family val="1"/>
        <charset val="204"/>
      </rPr>
      <t xml:space="preserve">10 </t>
    </r>
    <r>
      <rPr>
        <sz val="12"/>
        <color indexed="8"/>
        <rFont val="Times New Roman"/>
        <family val="1"/>
        <charset val="204"/>
      </rPr>
      <t>=</t>
    </r>
  </si>
  <si>
    <r>
      <t>V</t>
    </r>
    <r>
      <rPr>
        <vertAlign val="subscript"/>
        <sz val="12"/>
        <color indexed="8"/>
        <rFont val="Times New Roman"/>
        <family val="1"/>
        <charset val="204"/>
      </rPr>
      <t xml:space="preserve">11 </t>
    </r>
    <r>
      <rPr>
        <sz val="12"/>
        <color indexed="8"/>
        <rFont val="Times New Roman"/>
        <family val="1"/>
        <charset val="204"/>
      </rPr>
      <t>=</t>
    </r>
  </si>
  <si>
    <r>
      <t>K</t>
    </r>
    <r>
      <rPr>
        <vertAlign val="subscript"/>
        <sz val="12"/>
        <color indexed="8"/>
        <rFont val="Times New Roman"/>
        <family val="1"/>
        <charset val="204"/>
      </rPr>
      <t xml:space="preserve">11 </t>
    </r>
    <r>
      <rPr>
        <sz val="12"/>
        <color indexed="8"/>
        <rFont val="Times New Roman"/>
        <family val="1"/>
        <charset val="204"/>
      </rPr>
      <t>=</t>
    </r>
  </si>
  <si>
    <r>
      <t>V</t>
    </r>
    <r>
      <rPr>
        <vertAlign val="subscript"/>
        <sz val="12"/>
        <color indexed="8"/>
        <rFont val="Times New Roman"/>
        <family val="1"/>
        <charset val="204"/>
      </rPr>
      <t xml:space="preserve">12 </t>
    </r>
    <r>
      <rPr>
        <sz val="12"/>
        <color indexed="8"/>
        <rFont val="Times New Roman"/>
        <family val="1"/>
        <charset val="204"/>
      </rPr>
      <t>=</t>
    </r>
  </si>
  <si>
    <r>
      <t>K</t>
    </r>
    <r>
      <rPr>
        <vertAlign val="subscript"/>
        <sz val="12"/>
        <color indexed="8"/>
        <rFont val="Times New Roman"/>
        <family val="1"/>
        <charset val="204"/>
      </rPr>
      <t xml:space="preserve">12 </t>
    </r>
    <r>
      <rPr>
        <sz val="12"/>
        <color indexed="8"/>
        <rFont val="Times New Roman"/>
        <family val="1"/>
        <charset val="204"/>
      </rPr>
      <t>=</t>
    </r>
  </si>
  <si>
    <r>
      <t>V</t>
    </r>
    <r>
      <rPr>
        <vertAlign val="subscript"/>
        <sz val="12"/>
        <color indexed="8"/>
        <rFont val="Times New Roman"/>
        <family val="1"/>
        <charset val="204"/>
      </rPr>
      <t xml:space="preserve">13 </t>
    </r>
    <r>
      <rPr>
        <sz val="12"/>
        <color indexed="8"/>
        <rFont val="Times New Roman"/>
        <family val="1"/>
        <charset val="204"/>
      </rPr>
      <t>=</t>
    </r>
  </si>
  <si>
    <r>
      <t>K</t>
    </r>
    <r>
      <rPr>
        <vertAlign val="subscript"/>
        <sz val="12"/>
        <color indexed="8"/>
        <rFont val="Times New Roman"/>
        <family val="1"/>
        <charset val="204"/>
      </rPr>
      <t xml:space="preserve">13 </t>
    </r>
    <r>
      <rPr>
        <sz val="12"/>
        <color indexed="8"/>
        <rFont val="Times New Roman"/>
        <family val="1"/>
        <charset val="204"/>
      </rPr>
      <t>=</t>
    </r>
  </si>
  <si>
    <r>
      <t>V</t>
    </r>
    <r>
      <rPr>
        <vertAlign val="subscript"/>
        <sz val="12"/>
        <color indexed="8"/>
        <rFont val="Times New Roman"/>
        <family val="1"/>
        <charset val="204"/>
      </rPr>
      <t xml:space="preserve">14 </t>
    </r>
    <r>
      <rPr>
        <sz val="12"/>
        <color indexed="8"/>
        <rFont val="Times New Roman"/>
        <family val="1"/>
        <charset val="204"/>
      </rPr>
      <t>=</t>
    </r>
  </si>
  <si>
    <r>
      <t>K</t>
    </r>
    <r>
      <rPr>
        <vertAlign val="subscript"/>
        <sz val="12"/>
        <color indexed="8"/>
        <rFont val="Times New Roman"/>
        <family val="1"/>
        <charset val="204"/>
      </rPr>
      <t xml:space="preserve">14 </t>
    </r>
    <r>
      <rPr>
        <sz val="12"/>
        <color indexed="8"/>
        <rFont val="Times New Roman"/>
        <family val="1"/>
        <charset val="204"/>
      </rPr>
      <t>=</t>
    </r>
  </si>
  <si>
    <r>
      <t>V</t>
    </r>
    <r>
      <rPr>
        <vertAlign val="subscript"/>
        <sz val="12"/>
        <color indexed="8"/>
        <rFont val="Times New Roman"/>
        <family val="1"/>
        <charset val="204"/>
      </rPr>
      <t xml:space="preserve">15 </t>
    </r>
    <r>
      <rPr>
        <sz val="12"/>
        <color indexed="8"/>
        <rFont val="Times New Roman"/>
        <family val="1"/>
        <charset val="204"/>
      </rPr>
      <t>=</t>
    </r>
  </si>
  <si>
    <r>
      <t>K</t>
    </r>
    <r>
      <rPr>
        <vertAlign val="subscript"/>
        <sz val="12"/>
        <color indexed="8"/>
        <rFont val="Times New Roman"/>
        <family val="1"/>
        <charset val="204"/>
      </rPr>
      <t xml:space="preserve">15 </t>
    </r>
    <r>
      <rPr>
        <sz val="12"/>
        <color indexed="8"/>
        <rFont val="Times New Roman"/>
        <family val="1"/>
        <charset val="204"/>
      </rPr>
      <t>=</t>
    </r>
  </si>
  <si>
    <r>
      <t>V</t>
    </r>
    <r>
      <rPr>
        <vertAlign val="subscript"/>
        <sz val="12"/>
        <color indexed="8"/>
        <rFont val="Times New Roman"/>
        <family val="1"/>
        <charset val="204"/>
      </rPr>
      <t xml:space="preserve">16 </t>
    </r>
    <r>
      <rPr>
        <sz val="12"/>
        <color indexed="8"/>
        <rFont val="Times New Roman"/>
        <family val="1"/>
        <charset val="204"/>
      </rPr>
      <t>=</t>
    </r>
  </si>
  <si>
    <r>
      <t>K</t>
    </r>
    <r>
      <rPr>
        <vertAlign val="subscript"/>
        <sz val="12"/>
        <color indexed="8"/>
        <rFont val="Times New Roman"/>
        <family val="1"/>
        <charset val="204"/>
      </rPr>
      <t xml:space="preserve">16 </t>
    </r>
    <r>
      <rPr>
        <sz val="12"/>
        <color indexed="8"/>
        <rFont val="Times New Roman"/>
        <family val="1"/>
        <charset val="204"/>
      </rPr>
      <t>=</t>
    </r>
  </si>
  <si>
    <r>
      <t>V</t>
    </r>
    <r>
      <rPr>
        <vertAlign val="subscript"/>
        <sz val="12"/>
        <color indexed="8"/>
        <rFont val="Times New Roman"/>
        <family val="1"/>
        <charset val="204"/>
      </rPr>
      <t xml:space="preserve">17 </t>
    </r>
    <r>
      <rPr>
        <sz val="12"/>
        <color indexed="8"/>
        <rFont val="Times New Roman"/>
        <family val="1"/>
        <charset val="204"/>
      </rPr>
      <t>=</t>
    </r>
  </si>
  <si>
    <r>
      <t>K</t>
    </r>
    <r>
      <rPr>
        <vertAlign val="subscript"/>
        <sz val="12"/>
        <color indexed="8"/>
        <rFont val="Times New Roman"/>
        <family val="1"/>
        <charset val="204"/>
      </rPr>
      <t xml:space="preserve">17 </t>
    </r>
    <r>
      <rPr>
        <sz val="12"/>
        <color indexed="8"/>
        <rFont val="Times New Roman"/>
        <family val="1"/>
        <charset val="204"/>
      </rPr>
      <t>=</t>
    </r>
  </si>
  <si>
    <r>
      <t>V</t>
    </r>
    <r>
      <rPr>
        <vertAlign val="subscript"/>
        <sz val="12"/>
        <color indexed="8"/>
        <rFont val="Times New Roman"/>
        <family val="1"/>
        <charset val="204"/>
      </rPr>
      <t xml:space="preserve">18 </t>
    </r>
    <r>
      <rPr>
        <sz val="12"/>
        <color indexed="8"/>
        <rFont val="Times New Roman"/>
        <family val="1"/>
        <charset val="204"/>
      </rPr>
      <t>=</t>
    </r>
  </si>
  <si>
    <r>
      <t>m</t>
    </r>
    <r>
      <rPr>
        <vertAlign val="subscript"/>
        <sz val="12"/>
        <color indexed="8"/>
        <rFont val="Times New Roman"/>
        <family val="1"/>
        <charset val="204"/>
      </rPr>
      <t>4</t>
    </r>
    <r>
      <rPr>
        <sz val="12"/>
        <color indexed="8"/>
        <rFont val="Times New Roman"/>
        <family val="1"/>
        <charset val="204"/>
      </rPr>
      <t xml:space="preserve"> = </t>
    </r>
  </si>
  <si>
    <r>
      <t>K</t>
    </r>
    <r>
      <rPr>
        <vertAlign val="subscript"/>
        <sz val="12"/>
        <color indexed="8"/>
        <rFont val="Times New Roman"/>
        <family val="1"/>
        <charset val="204"/>
      </rPr>
      <t xml:space="preserve">19 </t>
    </r>
    <r>
      <rPr>
        <sz val="12"/>
        <color indexed="8"/>
        <rFont val="Times New Roman"/>
        <family val="1"/>
        <charset val="204"/>
      </rPr>
      <t>=</t>
    </r>
  </si>
  <si>
    <r>
      <t>K</t>
    </r>
    <r>
      <rPr>
        <vertAlign val="subscript"/>
        <sz val="12"/>
        <color indexed="8"/>
        <rFont val="Times New Roman"/>
        <family val="1"/>
        <charset val="204"/>
      </rPr>
      <t xml:space="preserve">20 </t>
    </r>
    <r>
      <rPr>
        <sz val="12"/>
        <color indexed="8"/>
        <rFont val="Times New Roman"/>
        <family val="1"/>
        <charset val="204"/>
      </rPr>
      <t>=</t>
    </r>
  </si>
  <si>
    <r>
      <t>V</t>
    </r>
    <r>
      <rPr>
        <vertAlign val="subscript"/>
        <sz val="12"/>
        <color indexed="8"/>
        <rFont val="Times New Roman"/>
        <family val="1"/>
        <charset val="204"/>
      </rPr>
      <t xml:space="preserve">21 </t>
    </r>
    <r>
      <rPr>
        <sz val="12"/>
        <color indexed="8"/>
        <rFont val="Times New Roman"/>
        <family val="1"/>
        <charset val="204"/>
      </rPr>
      <t>=</t>
    </r>
  </si>
  <si>
    <r>
      <t>K</t>
    </r>
    <r>
      <rPr>
        <vertAlign val="subscript"/>
        <sz val="12"/>
        <color indexed="8"/>
        <rFont val="Times New Roman"/>
        <family val="1"/>
        <charset val="204"/>
      </rPr>
      <t xml:space="preserve">21 </t>
    </r>
    <r>
      <rPr>
        <sz val="12"/>
        <color indexed="8"/>
        <rFont val="Times New Roman"/>
        <family val="1"/>
        <charset val="204"/>
      </rPr>
      <t>=</t>
    </r>
  </si>
  <si>
    <r>
      <t>V</t>
    </r>
    <r>
      <rPr>
        <vertAlign val="subscript"/>
        <sz val="12"/>
        <color indexed="8"/>
        <rFont val="Times New Roman"/>
        <family val="1"/>
        <charset val="204"/>
      </rPr>
      <t xml:space="preserve">22 </t>
    </r>
    <r>
      <rPr>
        <sz val="12"/>
        <color indexed="8"/>
        <rFont val="Times New Roman"/>
        <family val="1"/>
        <charset val="204"/>
      </rPr>
      <t>=</t>
    </r>
  </si>
  <si>
    <r>
      <t>K</t>
    </r>
    <r>
      <rPr>
        <vertAlign val="subscript"/>
        <sz val="12"/>
        <color indexed="8"/>
        <rFont val="Times New Roman"/>
        <family val="1"/>
        <charset val="204"/>
      </rPr>
      <t xml:space="preserve">22 </t>
    </r>
    <r>
      <rPr>
        <sz val="12"/>
        <color indexed="8"/>
        <rFont val="Times New Roman"/>
        <family val="1"/>
        <charset val="204"/>
      </rPr>
      <t>=</t>
    </r>
  </si>
  <si>
    <r>
      <t>m</t>
    </r>
    <r>
      <rPr>
        <vertAlign val="subscript"/>
        <sz val="12"/>
        <color indexed="8"/>
        <rFont val="Times New Roman"/>
        <family val="1"/>
        <charset val="204"/>
      </rPr>
      <t>5</t>
    </r>
    <r>
      <rPr>
        <sz val="12"/>
        <color indexed="8"/>
        <rFont val="Times New Roman"/>
        <family val="1"/>
        <charset val="204"/>
      </rPr>
      <t xml:space="preserve"> = </t>
    </r>
  </si>
  <si>
    <r>
      <t>V</t>
    </r>
    <r>
      <rPr>
        <vertAlign val="subscript"/>
        <sz val="12"/>
        <color indexed="8"/>
        <rFont val="Times New Roman"/>
        <family val="1"/>
        <charset val="204"/>
      </rPr>
      <t xml:space="preserve">23 </t>
    </r>
    <r>
      <rPr>
        <sz val="12"/>
        <color indexed="8"/>
        <rFont val="Times New Roman"/>
        <family val="1"/>
        <charset val="204"/>
      </rPr>
      <t>=</t>
    </r>
  </si>
  <si>
    <r>
      <t>K</t>
    </r>
    <r>
      <rPr>
        <vertAlign val="subscript"/>
        <sz val="12"/>
        <color indexed="8"/>
        <rFont val="Times New Roman"/>
        <family val="1"/>
        <charset val="204"/>
      </rPr>
      <t xml:space="preserve">23 </t>
    </r>
    <r>
      <rPr>
        <sz val="12"/>
        <color indexed="8"/>
        <rFont val="Times New Roman"/>
        <family val="1"/>
        <charset val="204"/>
      </rPr>
      <t>=</t>
    </r>
  </si>
  <si>
    <r>
      <t>V</t>
    </r>
    <r>
      <rPr>
        <vertAlign val="subscript"/>
        <sz val="12"/>
        <color indexed="8"/>
        <rFont val="Times New Roman"/>
        <family val="1"/>
        <charset val="204"/>
      </rPr>
      <t xml:space="preserve">24 </t>
    </r>
    <r>
      <rPr>
        <sz val="12"/>
        <color indexed="8"/>
        <rFont val="Times New Roman"/>
        <family val="1"/>
        <charset val="204"/>
      </rPr>
      <t>=</t>
    </r>
  </si>
  <si>
    <r>
      <t>K</t>
    </r>
    <r>
      <rPr>
        <vertAlign val="subscript"/>
        <sz val="12"/>
        <color indexed="8"/>
        <rFont val="Times New Roman"/>
        <family val="1"/>
        <charset val="204"/>
      </rPr>
      <t xml:space="preserve">24 </t>
    </r>
    <r>
      <rPr>
        <sz val="12"/>
        <color indexed="8"/>
        <rFont val="Times New Roman"/>
        <family val="1"/>
        <charset val="204"/>
      </rPr>
      <t>=</t>
    </r>
  </si>
  <si>
    <t>F =</t>
  </si>
  <si>
    <t>Фактори, які забезпечують відповідний стан діяльності, F</t>
  </si>
  <si>
    <t>F1=m1(V1K1+V2K2+V3K3+V4K4+V5K5+V6K6)</t>
  </si>
  <si>
    <t>F2=m2(V7K7+V8K8+V9K9)</t>
  </si>
  <si>
    <t>F3=m3(V10K10+V11K11+V12K12+V13K13+V14K14+V15K15+V16K16+V17K17+V18K18)</t>
  </si>
  <si>
    <t>F4=m4(V19K19+V20K20+V21K21+V22K22)</t>
  </si>
  <si>
    <t>F5=m5(V23K23+V24K24)</t>
  </si>
  <si>
    <t>Колективний договір</t>
  </si>
  <si>
    <t>про навчання та перевірку знань робітників з охорони праці;</t>
  </si>
  <si>
    <t>про призначення комісії по навчанню та перевірці знань з питань охорони праці;</t>
  </si>
  <si>
    <t>про призначення відповідального за електрогосподарство</t>
  </si>
  <si>
    <t>Нормативність ведення журналів інструктажів</t>
  </si>
  <si>
    <t>Наявність та нормативність оформлення актів</t>
  </si>
  <si>
    <t>Наявність та нормативність оформлення інструкцій за видами робіт</t>
  </si>
  <si>
    <t>Інші питання з пожежної безпеки</t>
  </si>
  <si>
    <t>Нормативність ведення протоколів батьківських зборів (загальних, спортивних секцій)</t>
  </si>
  <si>
    <t>Наявність Книги внутрішнього контролю директора</t>
  </si>
  <si>
    <t>Наявність Книги внутрішнього контролю заступника директора</t>
  </si>
  <si>
    <t>Відповідність мети відвідування занять та різних заходів річному плану роботи</t>
  </si>
  <si>
    <t>Здійснення контролю за результатами вивчення</t>
  </si>
  <si>
    <t>Документація тренера-викладача</t>
  </si>
  <si>
    <t xml:space="preserve">Нормативність ведення журналу обліку роботи </t>
  </si>
  <si>
    <t>Наявність медичних довідок для занять в спортивних секціях з видів спорту</t>
  </si>
  <si>
    <t>Нормативність ведення особистих карток спортсменів</t>
  </si>
  <si>
    <t xml:space="preserve">Наявність журналів реєстрації  інструктажів з техніки безпеки </t>
  </si>
  <si>
    <t>Наявність заяв вихованців або їх батьків</t>
  </si>
  <si>
    <t>Протоколи здачі нормативних вимог вихованцями ДЮСШ</t>
  </si>
  <si>
    <t>Видання наказів. F2=m2(V8K8+ +V9K9+V10K10+ +V11K11)</t>
  </si>
  <si>
    <t>Своєчасність ознайомлення з Інструкцією працівників, прийнятих на роботу (п. 1.4).</t>
  </si>
  <si>
    <t>наявність і дотримання графіка атестації та перспективного плану підвищення кваліфікації педагогічних працівників.</t>
  </si>
  <si>
    <t>Наявність акта прийому-передачі ділової документації при зміні керівника (1.12).</t>
  </si>
  <si>
    <t>Нормативність виконання загальних вимог до документів (документи поаркушно пронумеровані, прошнуровані, підписані керівником і скріплені печаткою (п. 1.9)).</t>
  </si>
  <si>
    <t>Наявність атестаційних матеріалів.</t>
  </si>
  <si>
    <t>Відповідність статутних положень у частині статусу закладу.</t>
  </si>
  <si>
    <t>Відповідність статутних положень у частині мови навчання.</t>
  </si>
  <si>
    <t>Впровадження профільного навчання в 10-11-х кл.</t>
  </si>
  <si>
    <t>Впровадження поглибленого вивчення окремих предметів.</t>
  </si>
  <si>
    <t>Наявність протоколів ради і педради закладу і їх відповідність.</t>
  </si>
  <si>
    <t>Відповідність статутних положень і робочого навчального плану у частині мови навчання, профільного навчання.</t>
  </si>
  <si>
    <t>Затвердження в установленому порядку.</t>
  </si>
  <si>
    <t>Наявність та глибина аналізу стану навчально-виховного процесу за минулий навчальний рік.</t>
  </si>
  <si>
    <t>Конкретність запланованих заходів, визначення термінів та відповідальних.</t>
  </si>
  <si>
    <t>Наявність позначок про виконання і відміток про зберігання матеріалів згідно з номенклатурою справ.</t>
  </si>
  <si>
    <t>Оптимальність шкільної мережі, її відповідність кількості учнів у алфавітній книзі, у формі ЗНЗ-1, виданим наказам.</t>
  </si>
  <si>
    <t>Нормативність видання наказів про відрахування учнів (наявність наказу про відрахування на кожного учня окремо, відповідність дати відрахування даті в заяві батьків, наявність довідки із закладу, де учень буде продовжувати навчання).</t>
  </si>
  <si>
    <t>Нормативність видання наказів про випуск учнів 9-х, 11-х класів, відповідність алфавітній книзі та протоколу педради.</t>
  </si>
  <si>
    <t>Нормативність видання наказів про зарахування учнів до 1-х, 10-их класів, відповідність алфавітній книзі.</t>
  </si>
  <si>
    <t>Нормативність видання наказів про переведення учнів до наступного класу.</t>
  </si>
  <si>
    <t>Нормативність ведення книги наказів (прошиті, пронумеровані, скріплені печаткою), конкретність поставлених перед педагогічним колективом завдань.</t>
  </si>
  <si>
    <t>Нормативність видання наказів про виконання навчальних програм за минулий навчальний рік.</t>
  </si>
  <si>
    <t>Нормативність видання наказу про запобігання травматизму, дотримання вимог охорони праці та безпеки життєдіяльності.</t>
  </si>
  <si>
    <t>Нормативність ведення директором та заступниками Книг записів наслідків внутрішнього контролю (відповідність мети відвідування уроків та позакласних заходів річному плану роботи навчального закладу, обґрунтованість та повнота висновків).</t>
  </si>
  <si>
    <t>Ґрунтовність розділу «Контрольно-аналітична діяльність» у річному плані роботи.</t>
  </si>
  <si>
    <t>Оптимальність розподілу посадових обов’язків між членами адміністрації навчального закладу.</t>
  </si>
  <si>
    <t>Результативність контрольно-аналітичної діяльності (де обговорювалися, розглядалися питання, наявність довідок, інформацій, наказів, рішень педрад тощо).</t>
  </si>
  <si>
    <t>Наявність і дотримання перспективного плану перевірки стану викладання окремих предметів.</t>
  </si>
  <si>
    <t>Контроль за відвідуванням учнями навчального закладу.</t>
  </si>
  <si>
    <t>Наявність і дотримання плану (графіка) відвідування уроків та виховних заходів адміністрацією школи.</t>
  </si>
  <si>
    <t>Відповідність навчальним програмам календарних планів учителів (вибірково).</t>
  </si>
  <si>
    <t>Нормативність ведення Журналу обліку пропущених і замінених уроків</t>
  </si>
  <si>
    <t>Нормативність оформлення.</t>
  </si>
  <si>
    <t>Відповідність записів про видання свідоцтв наказу по закладу.</t>
  </si>
  <si>
    <t>Відповідність предметів робочим навчальним планам.</t>
  </si>
  <si>
    <t>Наявність актів перевірки.</t>
  </si>
  <si>
    <t>Нормативність ведення та зберігання.</t>
  </si>
  <si>
    <t>Своєчасність заповнення (по мірі зарахування та відрахування учнів).</t>
  </si>
  <si>
    <t>Відповідність загальної кількості учнів статистичному звіту ЗНЗ-1, наказу про затвердження шкільної мережі станом на 05.09.</t>
  </si>
  <si>
    <t>Відповідність учнів, унесених до книги за кожною літерою, фактичній кількості учнів за мережею.</t>
  </si>
  <si>
    <t>Зазначення № наказу про переведення та випуск учнів.</t>
  </si>
  <si>
    <t>Відповідність нормативам наповнюваності класів.</t>
  </si>
  <si>
    <t>Охайність ведення.</t>
  </si>
  <si>
    <t>Упорядкованість особових справ учнів, їх відповідність кількості учнів за мережею і за класним журналом.</t>
  </si>
  <si>
    <t>Наявність списків учнів в особових справах класу (з печаткою закладу і підписом директора).</t>
  </si>
  <si>
    <t>Позначення про вибуття і прибуття учнів.</t>
  </si>
  <si>
    <t>Заяви батьків (з підписом директора і резолюцією: «до наказу»).</t>
  </si>
  <si>
    <t>Копії свідоцтв про народження (завірені печаткою закладу і підписом директора).</t>
  </si>
  <si>
    <t>Характеристики (після 1-го кл.).</t>
  </si>
  <si>
    <t>Підсумкові оцінки за рік (печатка).</t>
  </si>
  <si>
    <t>Нормативність зберігання документів про відсутність учня на уроках.</t>
  </si>
  <si>
    <t>Нормативність оформлення книг протоколів засідань педагогічної ради та ради навчального закладу</t>
  </si>
  <si>
    <t>Нормативність ведення книги реєстрації протоколів.</t>
  </si>
  <si>
    <t>Наявність та нормативність протоколу про переведення і випуск учнів.</t>
  </si>
  <si>
    <t>Наявність протоколів педради і ради навчального закладу про погодження робочого навчального плану.</t>
  </si>
  <si>
    <t>Наявність протоколу педради про обговорення та ради навчального закладу про затвердження річного плану.</t>
  </si>
  <si>
    <t>Наявність протоколу про представлення до нагородження золотою і срібною медалями учнів випускних 11-х класів (спільне засідання)</t>
  </si>
  <si>
    <t>Наявність протоколу ради закладу про затвердження режиму роботи навчального закладу</t>
  </si>
  <si>
    <t>Нормативність ведення журналів обліку вхідного і вихідного листування.</t>
  </si>
  <si>
    <t>Нормативність складання матеріалів конкурсного приймання (для навчальних закладів нового типу).</t>
  </si>
  <si>
    <t>Оптимальність графіка проведення тематичних, контрольних, лабораторних, практичних робіт, відповідність термінів графіку.</t>
  </si>
  <si>
    <t>Нормативність ведення контрольно-візитаційної книги.</t>
  </si>
  <si>
    <t>Нормативність ведення журналу обліку звернень та заяв громадян.</t>
  </si>
  <si>
    <t>Нормативність затвердження. Відповідність затвердженому робочому навчальному плану (за предметами та за кількістю годин на тиждень).</t>
  </si>
  <si>
    <t>Дотримання гранично допустимого навчального навантаження учнів.</t>
  </si>
  <si>
    <t>Оптимальність розкладу для учнів: чергування предметів у відповідності до динаміки працездатності учнів (тижневої, денної – (2-3 уроки початкова школа, 2-4 уроки середня та старша - найбільша працездатність)).</t>
  </si>
  <si>
    <t>Нормативність розкладу предметів варіативної складової робочого навчального плану, розкладу індивідуально-групових занять.</t>
  </si>
  <si>
    <t>Оптимальність графіка проведення тематичного оцінювання навчальних досягнень учнів.</t>
  </si>
  <si>
    <t>Організація нормативного збереження класних журналів попереднього та поточного навчальних років.</t>
  </si>
  <si>
    <t>Нормативність ведення класних журналів: учителями-предметниками. класними керівниками.</t>
  </si>
  <si>
    <t>Нормативність та об'єктивність тематичного оцінювання учнів.</t>
  </si>
  <si>
    <t>Нормативність ведення журналів груп продовженого дня, обліку роботи гуртків, факультативів, секцій тощо.</t>
  </si>
  <si>
    <t>Здійснення контролю за веденням журналів з боку адміністрації закладу.</t>
  </si>
  <si>
    <t>Наявність документів, що підтверджують причину відсутності учня.</t>
  </si>
  <si>
    <t>Оформлення сторінки «Рух учнів».</t>
  </si>
  <si>
    <t>Наявність наказу управління освіти адміністрації району Харківської міської ради про затвердження інструкції з питань діловодства.</t>
  </si>
  <si>
    <t>Наявність і нормативність інструкції з діловодства управління освіти адміністрації району Харківської міської ради (п. 3).</t>
  </si>
  <si>
    <t>Своєчасність ознайомлення з Інструкцією працівників, прийнятих на роботу.</t>
  </si>
  <si>
    <t>Нормативність визначення відповідального за зміст, якість підготовки та оформлення на належному рівні документів та за ведення діловодства у структурних підрозділах (пп. 4, 8).</t>
  </si>
  <si>
    <t>Наявність акта приймання-передачі ділової документації при зміні керівника.</t>
  </si>
  <si>
    <t>Наявність реквізитів на документах і розміщення їх у встановленому порядку (п. 15).</t>
  </si>
  <si>
    <t>Дотримання вимог до складання документів (формат паперу, нормативність бланків документів, наявність довідкових даних про установу).</t>
  </si>
  <si>
    <t>Дотримання вимог до тексту документа, додатків до нього, його підписання.</t>
  </si>
  <si>
    <t>Нормативність складення службових листів.</t>
  </si>
  <si>
    <t>Нормативність оформлення документів про службові відрядження.</t>
  </si>
  <si>
    <t>Нормативність датування, реєстрації та затвердження документів (нормативність ведення Журналу реєстрації вхідної документації та Журналу реєстрації документів, створених установою).</t>
  </si>
  <si>
    <t>Дотримання строків виконання документів.</t>
  </si>
  <si>
    <t>Організація контролю за виконанням документів.</t>
  </si>
  <si>
    <t>Складення номенклатури справ. Правильність та своєчасність затвердження.</t>
  </si>
  <si>
    <t>Відповідність змісту назв напрямків діяльності та справ чинним вимогам.</t>
  </si>
  <si>
    <t>Нормативність формування справ.</t>
  </si>
  <si>
    <t>Нормативність зберігання документів. Правильність визначення термінів збереження документів.</t>
  </si>
  <si>
    <t>Нормативність здійснення експертизи цінності документів.</t>
  </si>
  <si>
    <t>Нормативність складення описів справ.</t>
  </si>
  <si>
    <t>Нормативність оформлення справ (нумерація аркушів у справі, підшивання справи).</t>
  </si>
  <si>
    <t>Нормативність передачі справ до архіву установи.</t>
  </si>
  <si>
    <t>Наявність та глибина аналізу стану навчально-виховного процесу за минулий рік.</t>
  </si>
  <si>
    <t>Нормативність ведення книги наказів (прошиті, пронумеровані, скріплені печаткою); конкретність поставлених завдань.</t>
  </si>
  <si>
    <t>Оптимальність шкільної мережі, її відповідність кількості учнів у формі ЗНЗ-1, виданому наказу.</t>
  </si>
  <si>
    <t>Нормативність і змістовність складання протоколів апаратних нарад управління освіти.</t>
  </si>
  <si>
    <t>Нормативність складення протоколів колегії управління освіти (наявність і змістовність плану роботи колегії, доведення до відома членів колегії).</t>
  </si>
  <si>
    <t>Нормативність і змістовність складання протоколів нарад керівників навчальних закладів.</t>
  </si>
  <si>
    <t>Нормативність видання наказів про відрахування учнів (наявність наказу про відрахування на кожного учня окремо, відповідність дати відрахування даті в заяві батьків, наявність довідки із закладу, в якому учень продовжуватиме навчання).</t>
  </si>
  <si>
    <t>Нормативність ведення книги наказів (прошиті, пронумеровані, скріплені печаткою); конкретність поставлених перед педагогічним колективом завдань.</t>
  </si>
  <si>
    <t>Нормативність видання наказів про виконання навчальних програм за минулий навчальний рік;</t>
  </si>
  <si>
    <t>Нормативність видання наказу про організований початок навчального року.</t>
  </si>
  <si>
    <t>Наявність наказів адміністрації району Харківської міської ради «Про облік дітей шкільного віку та закріплення території обслуговування за загальноосвітніми навчальними закладами району на навчальний рік»; управління освіти адміністрації району Харківської міської ради «Про облік дітей шкільного віку та закріплення території обслуговування за загальноосвітніми навчальними закладами району на навчальний рік» (видаються щороку).</t>
  </si>
  <si>
    <t>Нормативність складання розкладу консультацій та ДПА (погодження з УО).</t>
  </si>
  <si>
    <t>Наявність наказу УО про створення атестаційних, апеляційних комісій (склад комісій затверджується УО за два тижні до початку ДПА).</t>
  </si>
  <si>
    <t>Нормативність зберігання екзаменаційних матеріалів.</t>
  </si>
  <si>
    <t>Своєчасність і нормативність оформлення протоколів ДПА та перевірки письмових атестаційних робіт.</t>
  </si>
  <si>
    <t>Правильність оформлення учнівських робіт (диктанти, перекази).</t>
  </si>
  <si>
    <t>ВИВЧЕННЯ СТАНУ УПРАВЛІНСЬКОЇ ДІЯЛЬНОСТІ УПРАВЛІННЯ ОСВІТИ АДМІНІСТРАЦЙІЇ РАЙОНУ ХАРКІВСЬКОЇ МІСЬКОЇ РАДИ ЩОДО ГОСПОДАРСЬКОЇ ДІЯЛЬНОСТІ</t>
  </si>
  <si>
    <t>Наявність основних нормативних документів (Законів України, нормативних актів, наукових посібників)</t>
  </si>
  <si>
    <t>Наявність наказу управління освіти адміністрації району Харківської міської ради про призначення відповідальної особи за адміністративно-господарчу діяльність</t>
  </si>
  <si>
    <t>Видання та наявність наказів з основної діяльності, посадових інструкцій адміністративно-технічного персоналу</t>
  </si>
  <si>
    <t>про призначення відповідального  за електрогосподарство</t>
  </si>
  <si>
    <t>про призначення відповідального за теплогосподарство</t>
  </si>
  <si>
    <t xml:space="preserve">про проведення благоустрою міста </t>
  </si>
  <si>
    <t xml:space="preserve">про підготовку до роботи в осінньо-зимовий період </t>
  </si>
  <si>
    <t>про забезпечення надійної та безпечної експлуатації будівль, споруд та інженерних мереж</t>
  </si>
  <si>
    <t xml:space="preserve">посадові  інструкції </t>
  </si>
  <si>
    <t>Нормативність ведення журналів</t>
  </si>
  <si>
    <t>Наявність та нормативність ведення журналів використання енергоносіїв (водо-, тепло-, електропостачання), вивозу ТПВ</t>
  </si>
  <si>
    <t>журнал адміністративно-господарської діяльності</t>
  </si>
  <si>
    <t>Наявність та нормативність підписання Актів</t>
  </si>
  <si>
    <t>Акту готовності до опалювального періоду (КП "ХТМ") та Акту стану готовності теплового господарства до роботи в опалювальний період (Держенергонагляду)</t>
  </si>
  <si>
    <t>Акт готовності закладу до нового навчального року</t>
  </si>
  <si>
    <t>Акт  перевірки стану захисного заземлення та виміру опору ізоляції електромереж</t>
  </si>
  <si>
    <t>Акт обстеження штукатурного шару стелі</t>
  </si>
  <si>
    <t>Акт про перевірку вентиляційних каналів</t>
  </si>
  <si>
    <t>ведення енергопаспарту</t>
  </si>
  <si>
    <t>Робота та виконання  приписів</t>
  </si>
  <si>
    <t>Державної інспекції з енергетичного нагляду за режимами споживання електричної енергії</t>
  </si>
  <si>
    <t xml:space="preserve">Державної інспекції з енергетичного нагляду за режимами споживання теплової енергії </t>
  </si>
  <si>
    <t>Санітарно-епідеміологічної станції</t>
  </si>
  <si>
    <t>Технічний стан будівель та споруд</t>
  </si>
  <si>
    <t>Учбових кабінетів: хімії, фізики, біології</t>
  </si>
  <si>
    <t>Цоколю та відмостки</t>
  </si>
  <si>
    <t>Вводів інженерних мереж</t>
  </si>
  <si>
    <t>Спортивної та актової залів</t>
  </si>
  <si>
    <t>Майстерень</t>
  </si>
  <si>
    <t>Технічний стан теплового пункту, електрощитової</t>
  </si>
  <si>
    <t>Наявність схеми</t>
  </si>
  <si>
    <t>Наявність журналів та інструкцій, засобів захисту</t>
  </si>
  <si>
    <t>Стан запірної арматури, маномітрів, термометрів (тепловий пункт)</t>
  </si>
  <si>
    <t xml:space="preserve">Стан прилеглої території </t>
  </si>
  <si>
    <t>Під'їзні шляхи та пішохідні доріжки</t>
  </si>
  <si>
    <t xml:space="preserve">Зелені насадження </t>
  </si>
  <si>
    <t>Спортивні майданчики, малі архітектурні форми</t>
  </si>
  <si>
    <t xml:space="preserve">Огорожа </t>
  </si>
  <si>
    <t>Протокол 
вивчення стану управлінської діяльності щодо нормативності ведення ділової документації 
у позашкільних навчальних закладах (ЦДЮТ, СЮТ, ХДЮКМ, Школа мистецтв) № _____</t>
  </si>
  <si>
    <t>Матеріали державної атестації ПНЗ</t>
  </si>
  <si>
    <t>Юридичне оформлення Статуту відповідно до  Закону України «Про позашкільну освіту» та Положення про позашкільний навчальний заклад</t>
  </si>
  <si>
    <t>Затвердження в установленому порядку</t>
  </si>
  <si>
    <t>Річний план роботи ПНЗ</t>
  </si>
  <si>
    <t>Наявність висновків</t>
  </si>
  <si>
    <t>Дієвість і реальність запланованих заходів, їх спрямованість на розвиток ПНЗ;</t>
  </si>
  <si>
    <t>Зазначення відповідальних,</t>
  </si>
  <si>
    <t>Нормативність видання наказів. Своєчасність ознайомлення з ними працівників</t>
  </si>
  <si>
    <t>Наявність та нормативність зберігання статистичних звітів</t>
  </si>
  <si>
    <t>Нормативність ведення Книги протоколів засідань педагогічної ради</t>
  </si>
  <si>
    <t>Наявність матеріалів до проведення засідань педагогічної ради</t>
  </si>
  <si>
    <t>Нормативність ведення Книги протоколів засідань  ради закладу</t>
  </si>
  <si>
    <t>Нормативність ведення Книги обліку вхідних та вихідних документів</t>
  </si>
  <si>
    <t>Нормативність збереження вхідної та вихідної документації</t>
  </si>
  <si>
    <t>Наявність Книги видачі свідоцтв про закінчення навчання</t>
  </si>
  <si>
    <t>Нормативність ведення протоколів батьківських зборів (загальних, гурткових);</t>
  </si>
  <si>
    <t>Документація керівника гуртка</t>
  </si>
  <si>
    <t>Нормативність ведення журналу обліку роботи гуртків</t>
  </si>
  <si>
    <t>Наявність медичних довідок для занять в окремих гуртках (вимоги Положення ……..)</t>
  </si>
  <si>
    <r>
      <t>Вагомість, m</t>
    </r>
    <r>
      <rPr>
        <b/>
        <vertAlign val="subscript"/>
        <sz val="12"/>
        <color indexed="8"/>
        <rFont val="Times New Roman"/>
        <family val="1"/>
        <charset val="204"/>
      </rPr>
      <t>n</t>
    </r>
  </si>
  <si>
    <r>
      <t>Вагомість, V</t>
    </r>
    <r>
      <rPr>
        <b/>
        <vertAlign val="subscript"/>
        <sz val="12"/>
        <color indexed="8"/>
        <rFont val="Times New Roman"/>
        <family val="1"/>
        <charset val="204"/>
      </rPr>
      <t>n</t>
    </r>
  </si>
  <si>
    <r>
      <t>Оцінка, K</t>
    </r>
    <r>
      <rPr>
        <b/>
        <vertAlign val="subscript"/>
        <sz val="12"/>
        <color indexed="8"/>
        <rFont val="Times New Roman"/>
        <family val="1"/>
        <charset val="204"/>
      </rPr>
      <t>n</t>
    </r>
  </si>
  <si>
    <r>
      <t>V</t>
    </r>
    <r>
      <rPr>
        <b/>
        <vertAlign val="subscript"/>
        <sz val="12"/>
        <color indexed="8"/>
        <rFont val="Times New Roman"/>
        <family val="1"/>
        <charset val="204"/>
      </rPr>
      <t>1</t>
    </r>
    <r>
      <rPr>
        <b/>
        <sz val="12"/>
        <color indexed="8"/>
        <rFont val="Times New Roman"/>
        <family val="1"/>
        <charset val="204"/>
      </rPr>
      <t>=</t>
    </r>
  </si>
  <si>
    <r>
      <t>F</t>
    </r>
    <r>
      <rPr>
        <vertAlign val="subscript"/>
        <sz val="12"/>
        <color indexed="8"/>
        <rFont val="Times New Roman"/>
        <family val="1"/>
        <charset val="204"/>
      </rPr>
      <t>1</t>
    </r>
    <r>
      <rPr>
        <sz val="12"/>
        <color indexed="8"/>
        <rFont val="Times New Roman"/>
        <family val="1"/>
        <charset val="204"/>
      </rPr>
      <t>=m</t>
    </r>
    <r>
      <rPr>
        <vertAlign val="subscript"/>
        <sz val="12"/>
        <color indexed="8"/>
        <rFont val="Times New Roman"/>
        <family val="1"/>
        <charset val="204"/>
      </rPr>
      <t>1</t>
    </r>
    <r>
      <rPr>
        <sz val="12"/>
        <color indexed="8"/>
        <rFont val="Times New Roman"/>
        <family val="1"/>
        <charset val="204"/>
      </rPr>
      <t>(V</t>
    </r>
    <r>
      <rPr>
        <vertAlign val="subscript"/>
        <sz val="12"/>
        <color indexed="8"/>
        <rFont val="Times New Roman"/>
        <family val="1"/>
        <charset val="204"/>
      </rPr>
      <t>1</t>
    </r>
    <r>
      <rPr>
        <sz val="12"/>
        <color indexed="8"/>
        <rFont val="Times New Roman"/>
        <family val="1"/>
        <charset val="204"/>
      </rPr>
      <t>K</t>
    </r>
    <r>
      <rPr>
        <vertAlign val="subscript"/>
        <sz val="12"/>
        <color indexed="8"/>
        <rFont val="Times New Roman"/>
        <family val="1"/>
        <charset val="204"/>
      </rPr>
      <t>1</t>
    </r>
    <r>
      <rPr>
        <sz val="12"/>
        <color indexed="8"/>
        <rFont val="Times New Roman"/>
        <family val="1"/>
        <charset val="204"/>
      </rPr>
      <t>+ +V</t>
    </r>
    <r>
      <rPr>
        <vertAlign val="subscript"/>
        <sz val="12"/>
        <color indexed="8"/>
        <rFont val="Times New Roman"/>
        <family val="1"/>
        <charset val="204"/>
      </rPr>
      <t>2</t>
    </r>
    <r>
      <rPr>
        <sz val="12"/>
        <color indexed="8"/>
        <rFont val="Times New Roman"/>
        <family val="1"/>
        <charset val="204"/>
      </rPr>
      <t>K</t>
    </r>
    <r>
      <rPr>
        <vertAlign val="subscript"/>
        <sz val="12"/>
        <color indexed="8"/>
        <rFont val="Times New Roman"/>
        <family val="1"/>
        <charset val="204"/>
      </rPr>
      <t>2</t>
    </r>
    <r>
      <rPr>
        <sz val="12"/>
        <color indexed="8"/>
        <rFont val="Times New Roman"/>
        <family val="1"/>
        <charset val="204"/>
      </rPr>
      <t>+V</t>
    </r>
    <r>
      <rPr>
        <vertAlign val="subscript"/>
        <sz val="12"/>
        <color indexed="8"/>
        <rFont val="Times New Roman"/>
        <family val="1"/>
        <charset val="204"/>
      </rPr>
      <t>3</t>
    </r>
    <r>
      <rPr>
        <sz val="12"/>
        <color indexed="8"/>
        <rFont val="Times New Roman"/>
        <family val="1"/>
        <charset val="204"/>
      </rPr>
      <t>K</t>
    </r>
    <r>
      <rPr>
        <vertAlign val="subscript"/>
        <sz val="12"/>
        <color indexed="8"/>
        <rFont val="Times New Roman"/>
        <family val="1"/>
        <charset val="204"/>
      </rPr>
      <t>3</t>
    </r>
    <r>
      <rPr>
        <sz val="12"/>
        <color indexed="8"/>
        <rFont val="Times New Roman"/>
        <family val="1"/>
        <charset val="204"/>
      </rPr>
      <t>)</t>
    </r>
  </si>
  <si>
    <r>
      <t>m</t>
    </r>
    <r>
      <rPr>
        <b/>
        <vertAlign val="subscript"/>
        <sz val="12"/>
        <color indexed="8"/>
        <rFont val="Times New Roman"/>
        <family val="1"/>
        <charset val="204"/>
      </rPr>
      <t>1</t>
    </r>
    <r>
      <rPr>
        <b/>
        <sz val="12"/>
        <color indexed="8"/>
        <rFont val="Times New Roman"/>
        <family val="1"/>
        <charset val="204"/>
      </rPr>
      <t>=</t>
    </r>
  </si>
  <si>
    <r>
      <t>V</t>
    </r>
    <r>
      <rPr>
        <b/>
        <vertAlign val="subscript"/>
        <sz val="12"/>
        <color indexed="8"/>
        <rFont val="Times New Roman"/>
        <family val="1"/>
        <charset val="204"/>
      </rPr>
      <t>2</t>
    </r>
    <r>
      <rPr>
        <b/>
        <sz val="12"/>
        <color indexed="8"/>
        <rFont val="Times New Roman"/>
        <family val="1"/>
        <charset val="204"/>
      </rPr>
      <t>=</t>
    </r>
  </si>
  <si>
    <r>
      <t>V</t>
    </r>
    <r>
      <rPr>
        <b/>
        <vertAlign val="subscript"/>
        <sz val="12"/>
        <color indexed="8"/>
        <rFont val="Times New Roman"/>
        <family val="1"/>
        <charset val="204"/>
      </rPr>
      <t>3</t>
    </r>
    <r>
      <rPr>
        <b/>
        <sz val="12"/>
        <color indexed="8"/>
        <rFont val="Times New Roman"/>
        <family val="1"/>
        <charset val="204"/>
      </rPr>
      <t>=</t>
    </r>
  </si>
  <si>
    <r>
      <t>F</t>
    </r>
    <r>
      <rPr>
        <b/>
        <vertAlign val="subscript"/>
        <sz val="12"/>
        <color indexed="8"/>
        <rFont val="Times New Roman"/>
        <family val="1"/>
        <charset val="204"/>
      </rPr>
      <t>1</t>
    </r>
    <r>
      <rPr>
        <b/>
        <sz val="12"/>
        <color indexed="8"/>
        <rFont val="Times New Roman"/>
        <family val="1"/>
        <charset val="204"/>
      </rPr>
      <t>=</t>
    </r>
  </si>
  <si>
    <r>
      <t>V</t>
    </r>
    <r>
      <rPr>
        <b/>
        <vertAlign val="subscript"/>
        <sz val="12"/>
        <color indexed="8"/>
        <rFont val="Times New Roman"/>
        <family val="1"/>
        <charset val="204"/>
      </rPr>
      <t>4</t>
    </r>
    <r>
      <rPr>
        <b/>
        <sz val="12"/>
        <color indexed="8"/>
        <rFont val="Times New Roman"/>
        <family val="1"/>
        <charset val="204"/>
      </rPr>
      <t>=</t>
    </r>
  </si>
  <si>
    <r>
      <t>F</t>
    </r>
    <r>
      <rPr>
        <vertAlign val="subscript"/>
        <sz val="12"/>
        <color indexed="8"/>
        <rFont val="Times New Roman"/>
        <family val="1"/>
        <charset val="204"/>
      </rPr>
      <t>2</t>
    </r>
    <r>
      <rPr>
        <sz val="12"/>
        <color indexed="8"/>
        <rFont val="Times New Roman"/>
        <family val="1"/>
        <charset val="204"/>
      </rPr>
      <t>=m</t>
    </r>
    <r>
      <rPr>
        <vertAlign val="subscript"/>
        <sz val="12"/>
        <color indexed="8"/>
        <rFont val="Times New Roman"/>
        <family val="1"/>
        <charset val="204"/>
      </rPr>
      <t>2</t>
    </r>
    <r>
      <rPr>
        <sz val="12"/>
        <color indexed="8"/>
        <rFont val="Times New Roman"/>
        <family val="1"/>
        <charset val="204"/>
      </rPr>
      <t>(V</t>
    </r>
    <r>
      <rPr>
        <vertAlign val="subscript"/>
        <sz val="12"/>
        <color indexed="8"/>
        <rFont val="Times New Roman"/>
        <family val="1"/>
        <charset val="204"/>
      </rPr>
      <t>4</t>
    </r>
    <r>
      <rPr>
        <sz val="12"/>
        <color indexed="8"/>
        <rFont val="Times New Roman"/>
        <family val="1"/>
        <charset val="204"/>
      </rPr>
      <t>K</t>
    </r>
    <r>
      <rPr>
        <vertAlign val="subscript"/>
        <sz val="12"/>
        <color indexed="8"/>
        <rFont val="Times New Roman"/>
        <family val="1"/>
        <charset val="204"/>
      </rPr>
      <t>4</t>
    </r>
    <r>
      <rPr>
        <sz val="12"/>
        <color indexed="8"/>
        <rFont val="Times New Roman"/>
        <family val="1"/>
        <charset val="204"/>
      </rPr>
      <t>+ +V</t>
    </r>
    <r>
      <rPr>
        <vertAlign val="subscript"/>
        <sz val="12"/>
        <color indexed="8"/>
        <rFont val="Times New Roman"/>
        <family val="1"/>
        <charset val="204"/>
      </rPr>
      <t>5</t>
    </r>
    <r>
      <rPr>
        <sz val="12"/>
        <color indexed="8"/>
        <rFont val="Times New Roman"/>
        <family val="1"/>
        <charset val="204"/>
      </rPr>
      <t>K</t>
    </r>
    <r>
      <rPr>
        <vertAlign val="subscript"/>
        <sz val="12"/>
        <color indexed="8"/>
        <rFont val="Times New Roman"/>
        <family val="1"/>
        <charset val="204"/>
      </rPr>
      <t>5</t>
    </r>
    <r>
      <rPr>
        <sz val="12"/>
        <color indexed="8"/>
        <rFont val="Times New Roman"/>
        <family val="1"/>
        <charset val="204"/>
      </rPr>
      <t>+V</t>
    </r>
    <r>
      <rPr>
        <vertAlign val="subscript"/>
        <sz val="12"/>
        <color indexed="8"/>
        <rFont val="Times New Roman"/>
        <family val="1"/>
        <charset val="204"/>
      </rPr>
      <t>6</t>
    </r>
    <r>
      <rPr>
        <sz val="12"/>
        <color indexed="8"/>
        <rFont val="Times New Roman"/>
        <family val="1"/>
        <charset val="204"/>
      </rPr>
      <t>K</t>
    </r>
    <r>
      <rPr>
        <vertAlign val="subscript"/>
        <sz val="12"/>
        <color indexed="8"/>
        <rFont val="Times New Roman"/>
        <family val="1"/>
        <charset val="204"/>
      </rPr>
      <t>6</t>
    </r>
    <r>
      <rPr>
        <sz val="12"/>
        <color indexed="8"/>
        <rFont val="Times New Roman"/>
        <family val="1"/>
        <charset val="204"/>
      </rPr>
      <t>+ +V</t>
    </r>
    <r>
      <rPr>
        <vertAlign val="subscript"/>
        <sz val="12"/>
        <color indexed="8"/>
        <rFont val="Times New Roman"/>
        <family val="1"/>
        <charset val="204"/>
      </rPr>
      <t>7</t>
    </r>
    <r>
      <rPr>
        <sz val="12"/>
        <color indexed="8"/>
        <rFont val="Times New Roman"/>
        <family val="1"/>
        <charset val="204"/>
      </rPr>
      <t>K</t>
    </r>
    <r>
      <rPr>
        <vertAlign val="subscript"/>
        <sz val="12"/>
        <color indexed="8"/>
        <rFont val="Times New Roman"/>
        <family val="1"/>
        <charset val="204"/>
      </rPr>
      <t>7</t>
    </r>
    <r>
      <rPr>
        <sz val="12"/>
        <color indexed="8"/>
        <rFont val="Times New Roman"/>
        <family val="1"/>
        <charset val="204"/>
      </rPr>
      <t>+V</t>
    </r>
    <r>
      <rPr>
        <vertAlign val="subscript"/>
        <sz val="12"/>
        <color indexed="8"/>
        <rFont val="Times New Roman"/>
        <family val="1"/>
        <charset val="204"/>
      </rPr>
      <t>8</t>
    </r>
    <r>
      <rPr>
        <sz val="12"/>
        <color indexed="8"/>
        <rFont val="Times New Roman"/>
        <family val="1"/>
        <charset val="204"/>
      </rPr>
      <t>K</t>
    </r>
    <r>
      <rPr>
        <vertAlign val="subscript"/>
        <sz val="12"/>
        <color indexed="8"/>
        <rFont val="Times New Roman"/>
        <family val="1"/>
        <charset val="204"/>
      </rPr>
      <t>8</t>
    </r>
    <r>
      <rPr>
        <sz val="12"/>
        <color indexed="8"/>
        <rFont val="Times New Roman"/>
        <family val="1"/>
        <charset val="204"/>
      </rPr>
      <t>+ +V</t>
    </r>
    <r>
      <rPr>
        <vertAlign val="subscript"/>
        <sz val="12"/>
        <color indexed="8"/>
        <rFont val="Times New Roman"/>
        <family val="1"/>
        <charset val="204"/>
      </rPr>
      <t>9</t>
    </r>
    <r>
      <rPr>
        <sz val="12"/>
        <color indexed="8"/>
        <rFont val="Times New Roman"/>
        <family val="1"/>
        <charset val="204"/>
      </rPr>
      <t>K</t>
    </r>
    <r>
      <rPr>
        <vertAlign val="subscript"/>
        <sz val="12"/>
        <color indexed="8"/>
        <rFont val="Times New Roman"/>
        <family val="1"/>
        <charset val="204"/>
      </rPr>
      <t>9</t>
    </r>
    <r>
      <rPr>
        <sz val="12"/>
        <color indexed="8"/>
        <rFont val="Times New Roman"/>
        <family val="1"/>
        <charset val="204"/>
      </rPr>
      <t>+V</t>
    </r>
    <r>
      <rPr>
        <vertAlign val="subscript"/>
        <sz val="12"/>
        <color indexed="8"/>
        <rFont val="Times New Roman"/>
        <family val="1"/>
        <charset val="204"/>
      </rPr>
      <t>10</t>
    </r>
    <r>
      <rPr>
        <sz val="12"/>
        <color indexed="8"/>
        <rFont val="Times New Roman"/>
        <family val="1"/>
        <charset val="204"/>
      </rPr>
      <t>K</t>
    </r>
    <r>
      <rPr>
        <vertAlign val="subscript"/>
        <sz val="12"/>
        <color indexed="8"/>
        <rFont val="Times New Roman"/>
        <family val="1"/>
        <charset val="204"/>
      </rPr>
      <t>10</t>
    </r>
    <r>
      <rPr>
        <sz val="12"/>
        <color indexed="8"/>
        <rFont val="Times New Roman"/>
        <family val="1"/>
        <charset val="204"/>
      </rPr>
      <t>+ +V</t>
    </r>
    <r>
      <rPr>
        <vertAlign val="subscript"/>
        <sz val="12"/>
        <color indexed="8"/>
        <rFont val="Times New Roman"/>
        <family val="1"/>
        <charset val="204"/>
      </rPr>
      <t>11</t>
    </r>
    <r>
      <rPr>
        <sz val="12"/>
        <color indexed="8"/>
        <rFont val="Times New Roman"/>
        <family val="1"/>
        <charset val="204"/>
      </rPr>
      <t>K</t>
    </r>
    <r>
      <rPr>
        <vertAlign val="subscript"/>
        <sz val="12"/>
        <color indexed="8"/>
        <rFont val="Times New Roman"/>
        <family val="1"/>
        <charset val="204"/>
      </rPr>
      <t>11</t>
    </r>
    <r>
      <rPr>
        <sz val="12"/>
        <color indexed="8"/>
        <rFont val="Times New Roman"/>
        <family val="1"/>
        <charset val="204"/>
      </rPr>
      <t>+V</t>
    </r>
    <r>
      <rPr>
        <vertAlign val="subscript"/>
        <sz val="12"/>
        <color indexed="8"/>
        <rFont val="Times New Roman"/>
        <family val="1"/>
        <charset val="204"/>
      </rPr>
      <t>12</t>
    </r>
    <r>
      <rPr>
        <sz val="12"/>
        <color indexed="8"/>
        <rFont val="Times New Roman"/>
        <family val="1"/>
        <charset val="204"/>
      </rPr>
      <t>K</t>
    </r>
    <r>
      <rPr>
        <vertAlign val="subscript"/>
        <sz val="12"/>
        <color indexed="8"/>
        <rFont val="Times New Roman"/>
        <family val="1"/>
        <charset val="204"/>
      </rPr>
      <t>12</t>
    </r>
    <r>
      <rPr>
        <sz val="12"/>
        <color indexed="8"/>
        <rFont val="Times New Roman"/>
        <family val="1"/>
        <charset val="204"/>
      </rPr>
      <t>+ +V</t>
    </r>
    <r>
      <rPr>
        <vertAlign val="subscript"/>
        <sz val="12"/>
        <color indexed="8"/>
        <rFont val="Times New Roman"/>
        <family val="1"/>
        <charset val="204"/>
      </rPr>
      <t>13</t>
    </r>
    <r>
      <rPr>
        <sz val="12"/>
        <color indexed="8"/>
        <rFont val="Times New Roman"/>
        <family val="1"/>
        <charset val="204"/>
      </rPr>
      <t>K</t>
    </r>
    <r>
      <rPr>
        <vertAlign val="subscript"/>
        <sz val="11"/>
        <color indexed="8"/>
        <rFont val="Times New Roman"/>
        <family val="1"/>
        <charset val="204"/>
      </rPr>
      <t>1</t>
    </r>
    <r>
      <rPr>
        <vertAlign val="subscript"/>
        <sz val="12"/>
        <color indexed="8"/>
        <rFont val="Times New Roman"/>
        <family val="1"/>
        <charset val="204"/>
      </rPr>
      <t>3</t>
    </r>
    <r>
      <rPr>
        <sz val="12"/>
        <color indexed="8"/>
        <rFont val="Times New Roman"/>
        <family val="1"/>
        <charset val="204"/>
      </rPr>
      <t>)</t>
    </r>
  </si>
  <si>
    <r>
      <t>V</t>
    </r>
    <r>
      <rPr>
        <b/>
        <vertAlign val="subscript"/>
        <sz val="12"/>
        <color indexed="8"/>
        <rFont val="Times New Roman"/>
        <family val="1"/>
        <charset val="204"/>
      </rPr>
      <t>5</t>
    </r>
    <r>
      <rPr>
        <b/>
        <sz val="12"/>
        <color indexed="8"/>
        <rFont val="Times New Roman"/>
        <family val="1"/>
        <charset val="204"/>
      </rPr>
      <t>=</t>
    </r>
  </si>
  <si>
    <r>
      <t>V</t>
    </r>
    <r>
      <rPr>
        <b/>
        <vertAlign val="subscript"/>
        <sz val="12"/>
        <color indexed="8"/>
        <rFont val="Times New Roman"/>
        <family val="1"/>
        <charset val="204"/>
      </rPr>
      <t>6</t>
    </r>
    <r>
      <rPr>
        <b/>
        <sz val="12"/>
        <color indexed="8"/>
        <rFont val="Times New Roman"/>
        <family val="1"/>
        <charset val="204"/>
      </rPr>
      <t>=</t>
    </r>
  </si>
  <si>
    <r>
      <t>V</t>
    </r>
    <r>
      <rPr>
        <b/>
        <vertAlign val="subscript"/>
        <sz val="12"/>
        <color indexed="8"/>
        <rFont val="Times New Roman"/>
        <family val="1"/>
        <charset val="204"/>
      </rPr>
      <t>7</t>
    </r>
    <r>
      <rPr>
        <b/>
        <sz val="12"/>
        <color indexed="8"/>
        <rFont val="Times New Roman"/>
        <family val="1"/>
        <charset val="204"/>
      </rPr>
      <t>=</t>
    </r>
  </si>
  <si>
    <r>
      <t>m</t>
    </r>
    <r>
      <rPr>
        <b/>
        <vertAlign val="subscript"/>
        <sz val="12"/>
        <color indexed="8"/>
        <rFont val="Times New Roman"/>
        <family val="1"/>
        <charset val="204"/>
      </rPr>
      <t>2</t>
    </r>
    <r>
      <rPr>
        <b/>
        <sz val="12"/>
        <color indexed="8"/>
        <rFont val="Times New Roman"/>
        <family val="1"/>
        <charset val="204"/>
      </rPr>
      <t>=</t>
    </r>
  </si>
  <si>
    <r>
      <t>V</t>
    </r>
    <r>
      <rPr>
        <b/>
        <vertAlign val="subscript"/>
        <sz val="12"/>
        <color indexed="8"/>
        <rFont val="Times New Roman"/>
        <family val="1"/>
        <charset val="204"/>
      </rPr>
      <t>8</t>
    </r>
    <r>
      <rPr>
        <b/>
        <sz val="12"/>
        <color indexed="8"/>
        <rFont val="Times New Roman"/>
        <family val="1"/>
        <charset val="204"/>
      </rPr>
      <t>=</t>
    </r>
  </si>
  <si>
    <r>
      <t>V</t>
    </r>
    <r>
      <rPr>
        <b/>
        <vertAlign val="subscript"/>
        <sz val="12"/>
        <color indexed="8"/>
        <rFont val="Times New Roman"/>
        <family val="1"/>
        <charset val="204"/>
      </rPr>
      <t>9</t>
    </r>
    <r>
      <rPr>
        <b/>
        <sz val="12"/>
        <color indexed="8"/>
        <rFont val="Times New Roman"/>
        <family val="1"/>
        <charset val="204"/>
      </rPr>
      <t>=</t>
    </r>
  </si>
  <si>
    <r>
      <t>V</t>
    </r>
    <r>
      <rPr>
        <b/>
        <vertAlign val="subscript"/>
        <sz val="12"/>
        <color indexed="8"/>
        <rFont val="Times New Roman"/>
        <family val="1"/>
        <charset val="204"/>
      </rPr>
      <t>10</t>
    </r>
    <r>
      <rPr>
        <b/>
        <sz val="12"/>
        <color indexed="8"/>
        <rFont val="Times New Roman"/>
        <family val="1"/>
        <charset val="204"/>
      </rPr>
      <t>=</t>
    </r>
  </si>
  <si>
    <r>
      <t>V</t>
    </r>
    <r>
      <rPr>
        <b/>
        <vertAlign val="subscript"/>
        <sz val="12"/>
        <color indexed="8"/>
        <rFont val="Times New Roman"/>
        <family val="1"/>
        <charset val="204"/>
      </rPr>
      <t>11</t>
    </r>
    <r>
      <rPr>
        <b/>
        <sz val="12"/>
        <color indexed="8"/>
        <rFont val="Times New Roman"/>
        <family val="1"/>
        <charset val="204"/>
      </rPr>
      <t>=</t>
    </r>
  </si>
  <si>
    <r>
      <t>V</t>
    </r>
    <r>
      <rPr>
        <b/>
        <vertAlign val="subscript"/>
        <sz val="12"/>
        <color indexed="8"/>
        <rFont val="Times New Roman"/>
        <family val="1"/>
        <charset val="204"/>
      </rPr>
      <t>12</t>
    </r>
    <r>
      <rPr>
        <b/>
        <sz val="12"/>
        <color indexed="8"/>
        <rFont val="Times New Roman"/>
        <family val="1"/>
        <charset val="204"/>
      </rPr>
      <t>=</t>
    </r>
  </si>
  <si>
    <r>
      <t>F</t>
    </r>
    <r>
      <rPr>
        <b/>
        <vertAlign val="subscript"/>
        <sz val="12"/>
        <color indexed="8"/>
        <rFont val="Times New Roman"/>
        <family val="1"/>
        <charset val="204"/>
      </rPr>
      <t>2</t>
    </r>
    <r>
      <rPr>
        <b/>
        <sz val="12"/>
        <color indexed="8"/>
        <rFont val="Times New Roman"/>
        <family val="1"/>
        <charset val="204"/>
      </rPr>
      <t>=</t>
    </r>
  </si>
  <si>
    <r>
      <t>V</t>
    </r>
    <r>
      <rPr>
        <b/>
        <vertAlign val="subscript"/>
        <sz val="12"/>
        <color indexed="8"/>
        <rFont val="Times New Roman"/>
        <family val="1"/>
        <charset val="204"/>
      </rPr>
      <t>13</t>
    </r>
    <r>
      <rPr>
        <b/>
        <sz val="12"/>
        <color indexed="8"/>
        <rFont val="Times New Roman"/>
        <family val="1"/>
        <charset val="204"/>
      </rPr>
      <t>=</t>
    </r>
  </si>
  <si>
    <t xml:space="preserve">Видання наказів. </t>
  </si>
  <si>
    <r>
      <t>m</t>
    </r>
    <r>
      <rPr>
        <b/>
        <vertAlign val="subscript"/>
        <sz val="12"/>
        <color indexed="8"/>
        <rFont val="Times New Roman"/>
        <family val="1"/>
        <charset val="204"/>
      </rPr>
      <t>3</t>
    </r>
    <r>
      <rPr>
        <b/>
        <sz val="12"/>
        <color indexed="8"/>
        <rFont val="Times New Roman"/>
        <family val="1"/>
        <charset val="204"/>
      </rPr>
      <t>=</t>
    </r>
  </si>
  <si>
    <r>
      <t>V</t>
    </r>
    <r>
      <rPr>
        <b/>
        <vertAlign val="subscript"/>
        <sz val="12"/>
        <color indexed="8"/>
        <rFont val="Times New Roman"/>
        <family val="1"/>
        <charset val="204"/>
      </rPr>
      <t>14</t>
    </r>
    <r>
      <rPr>
        <b/>
        <sz val="12"/>
        <color indexed="8"/>
        <rFont val="Times New Roman"/>
        <family val="1"/>
        <charset val="204"/>
      </rPr>
      <t>=</t>
    </r>
  </si>
  <si>
    <r>
      <t>F</t>
    </r>
    <r>
      <rPr>
        <vertAlign val="subscript"/>
        <sz val="12"/>
        <color indexed="8"/>
        <rFont val="Times New Roman"/>
        <family val="1"/>
        <charset val="204"/>
      </rPr>
      <t>3</t>
    </r>
    <r>
      <rPr>
        <sz val="12"/>
        <color indexed="8"/>
        <rFont val="Times New Roman"/>
        <family val="1"/>
        <charset val="204"/>
      </rPr>
      <t>=m</t>
    </r>
    <r>
      <rPr>
        <vertAlign val="subscript"/>
        <sz val="12"/>
        <color indexed="8"/>
        <rFont val="Times New Roman"/>
        <family val="1"/>
        <charset val="204"/>
      </rPr>
      <t>3</t>
    </r>
    <r>
      <rPr>
        <sz val="12"/>
        <color indexed="8"/>
        <rFont val="Times New Roman"/>
        <family val="1"/>
        <charset val="204"/>
      </rPr>
      <t>(V</t>
    </r>
    <r>
      <rPr>
        <vertAlign val="subscript"/>
        <sz val="12"/>
        <color indexed="8"/>
        <rFont val="Times New Roman"/>
        <family val="1"/>
        <charset val="204"/>
      </rPr>
      <t>14</t>
    </r>
    <r>
      <rPr>
        <sz val="12"/>
        <color indexed="8"/>
        <rFont val="Times New Roman"/>
        <family val="1"/>
        <charset val="204"/>
      </rPr>
      <t>K</t>
    </r>
    <r>
      <rPr>
        <vertAlign val="subscript"/>
        <sz val="12"/>
        <color indexed="8"/>
        <rFont val="Times New Roman"/>
        <family val="1"/>
        <charset val="204"/>
      </rPr>
      <t>14</t>
    </r>
    <r>
      <rPr>
        <sz val="12"/>
        <color indexed="8"/>
        <rFont val="Times New Roman"/>
        <family val="1"/>
        <charset val="204"/>
      </rPr>
      <t>+ +V</t>
    </r>
    <r>
      <rPr>
        <vertAlign val="subscript"/>
        <sz val="12"/>
        <color indexed="8"/>
        <rFont val="Times New Roman"/>
        <family val="1"/>
        <charset val="204"/>
      </rPr>
      <t>15</t>
    </r>
    <r>
      <rPr>
        <sz val="12"/>
        <color indexed="8"/>
        <rFont val="Times New Roman"/>
        <family val="1"/>
        <charset val="204"/>
      </rPr>
      <t>K</t>
    </r>
    <r>
      <rPr>
        <vertAlign val="subscript"/>
        <sz val="12"/>
        <color indexed="8"/>
        <rFont val="Times New Roman"/>
        <family val="1"/>
        <charset val="204"/>
      </rPr>
      <t>15</t>
    </r>
    <r>
      <rPr>
        <sz val="12"/>
        <color indexed="8"/>
        <rFont val="Times New Roman"/>
        <family val="1"/>
        <charset val="204"/>
      </rPr>
      <t>+V</t>
    </r>
    <r>
      <rPr>
        <vertAlign val="subscript"/>
        <sz val="12"/>
        <color indexed="8"/>
        <rFont val="Times New Roman"/>
        <family val="1"/>
        <charset val="204"/>
      </rPr>
      <t>16</t>
    </r>
    <r>
      <rPr>
        <sz val="12"/>
        <color indexed="8"/>
        <rFont val="Times New Roman"/>
        <family val="1"/>
        <charset val="204"/>
      </rPr>
      <t>K</t>
    </r>
    <r>
      <rPr>
        <vertAlign val="subscript"/>
        <sz val="12"/>
        <color indexed="8"/>
        <rFont val="Times New Roman"/>
        <family val="1"/>
        <charset val="204"/>
      </rPr>
      <t>16</t>
    </r>
    <r>
      <rPr>
        <sz val="12"/>
        <color indexed="8"/>
        <rFont val="Times New Roman"/>
        <family val="1"/>
        <charset val="204"/>
      </rPr>
      <t>+ +V</t>
    </r>
    <r>
      <rPr>
        <vertAlign val="subscript"/>
        <sz val="12"/>
        <color indexed="8"/>
        <rFont val="Times New Roman"/>
        <family val="1"/>
        <charset val="204"/>
      </rPr>
      <t>17</t>
    </r>
    <r>
      <rPr>
        <sz val="12"/>
        <color indexed="8"/>
        <rFont val="Times New Roman"/>
        <family val="1"/>
        <charset val="204"/>
      </rPr>
      <t>K</t>
    </r>
    <r>
      <rPr>
        <vertAlign val="subscript"/>
        <sz val="12"/>
        <color indexed="8"/>
        <rFont val="Times New Roman"/>
        <family val="1"/>
        <charset val="204"/>
      </rPr>
      <t>17</t>
    </r>
    <r>
      <rPr>
        <sz val="12"/>
        <color indexed="8"/>
        <rFont val="Times New Roman"/>
        <family val="1"/>
        <charset val="204"/>
      </rPr>
      <t>)</t>
    </r>
  </si>
  <si>
    <r>
      <t>V</t>
    </r>
    <r>
      <rPr>
        <b/>
        <vertAlign val="subscript"/>
        <sz val="12"/>
        <color indexed="8"/>
        <rFont val="Times New Roman"/>
        <family val="1"/>
        <charset val="204"/>
      </rPr>
      <t>15</t>
    </r>
    <r>
      <rPr>
        <b/>
        <sz val="12"/>
        <color indexed="8"/>
        <rFont val="Times New Roman"/>
        <family val="1"/>
        <charset val="204"/>
      </rPr>
      <t>=</t>
    </r>
  </si>
  <si>
    <r>
      <t>V</t>
    </r>
    <r>
      <rPr>
        <b/>
        <vertAlign val="subscript"/>
        <sz val="12"/>
        <color indexed="8"/>
        <rFont val="Times New Roman"/>
        <family val="1"/>
        <charset val="204"/>
      </rPr>
      <t>16</t>
    </r>
    <r>
      <rPr>
        <b/>
        <sz val="12"/>
        <color indexed="8"/>
        <rFont val="Times New Roman"/>
        <family val="1"/>
        <charset val="204"/>
      </rPr>
      <t>=</t>
    </r>
  </si>
  <si>
    <r>
      <t>F</t>
    </r>
    <r>
      <rPr>
        <b/>
        <vertAlign val="subscript"/>
        <sz val="12"/>
        <color indexed="8"/>
        <rFont val="Times New Roman"/>
        <family val="1"/>
        <charset val="204"/>
      </rPr>
      <t>3</t>
    </r>
    <r>
      <rPr>
        <b/>
        <sz val="12"/>
        <color indexed="8"/>
        <rFont val="Times New Roman"/>
        <family val="1"/>
        <charset val="204"/>
      </rPr>
      <t>=</t>
    </r>
  </si>
  <si>
    <r>
      <t>V</t>
    </r>
    <r>
      <rPr>
        <b/>
        <vertAlign val="subscript"/>
        <sz val="12"/>
        <color indexed="8"/>
        <rFont val="Times New Roman"/>
        <family val="1"/>
        <charset val="204"/>
      </rPr>
      <t>17</t>
    </r>
    <r>
      <rPr>
        <b/>
        <sz val="12"/>
        <color indexed="8"/>
        <rFont val="Times New Roman"/>
        <family val="1"/>
        <charset val="204"/>
      </rPr>
      <t>=</t>
    </r>
  </si>
  <si>
    <t>Книга протоколів педагогічної ради.</t>
  </si>
  <si>
    <r>
      <t>V</t>
    </r>
    <r>
      <rPr>
        <b/>
        <vertAlign val="subscript"/>
        <sz val="12"/>
        <color indexed="8"/>
        <rFont val="Times New Roman"/>
        <family val="1"/>
        <charset val="204"/>
      </rPr>
      <t>18</t>
    </r>
    <r>
      <rPr>
        <b/>
        <sz val="12"/>
        <color indexed="8"/>
        <rFont val="Times New Roman"/>
        <family val="1"/>
        <charset val="204"/>
      </rPr>
      <t>=</t>
    </r>
  </si>
  <si>
    <r>
      <t xml:space="preserve">  F</t>
    </r>
    <r>
      <rPr>
        <vertAlign val="subscript"/>
        <sz val="12"/>
        <color indexed="8"/>
        <rFont val="Times New Roman"/>
        <family val="1"/>
        <charset val="204"/>
      </rPr>
      <t>4</t>
    </r>
    <r>
      <rPr>
        <sz val="12"/>
        <color indexed="8"/>
        <rFont val="Times New Roman"/>
        <family val="1"/>
        <charset val="204"/>
      </rPr>
      <t>=m</t>
    </r>
    <r>
      <rPr>
        <vertAlign val="subscript"/>
        <sz val="12"/>
        <color indexed="8"/>
        <rFont val="Times New Roman"/>
        <family val="1"/>
        <charset val="204"/>
      </rPr>
      <t>4</t>
    </r>
    <r>
      <rPr>
        <sz val="12"/>
        <color indexed="8"/>
        <rFont val="Times New Roman"/>
        <family val="1"/>
        <charset val="204"/>
      </rPr>
      <t>(V</t>
    </r>
    <r>
      <rPr>
        <vertAlign val="subscript"/>
        <sz val="12"/>
        <color indexed="8"/>
        <rFont val="Times New Roman"/>
        <family val="1"/>
        <charset val="204"/>
      </rPr>
      <t>18</t>
    </r>
    <r>
      <rPr>
        <sz val="12"/>
        <color indexed="8"/>
        <rFont val="Times New Roman"/>
        <family val="1"/>
        <charset val="204"/>
      </rPr>
      <t>K</t>
    </r>
    <r>
      <rPr>
        <vertAlign val="subscript"/>
        <sz val="12"/>
        <color indexed="8"/>
        <rFont val="Times New Roman"/>
        <family val="1"/>
        <charset val="204"/>
      </rPr>
      <t>18</t>
    </r>
    <r>
      <rPr>
        <sz val="12"/>
        <color indexed="8"/>
        <rFont val="Times New Roman"/>
        <family val="1"/>
        <charset val="204"/>
      </rPr>
      <t>+ +V</t>
    </r>
    <r>
      <rPr>
        <vertAlign val="subscript"/>
        <sz val="12"/>
        <color indexed="8"/>
        <rFont val="Times New Roman"/>
        <family val="1"/>
        <charset val="204"/>
      </rPr>
      <t>19</t>
    </r>
    <r>
      <rPr>
        <sz val="12"/>
        <color indexed="8"/>
        <rFont val="Times New Roman"/>
        <family val="1"/>
        <charset val="204"/>
      </rPr>
      <t>K</t>
    </r>
    <r>
      <rPr>
        <vertAlign val="subscript"/>
        <sz val="12"/>
        <color indexed="8"/>
        <rFont val="Times New Roman"/>
        <family val="1"/>
        <charset val="204"/>
      </rPr>
      <t>19</t>
    </r>
    <r>
      <rPr>
        <sz val="12"/>
        <color indexed="8"/>
        <rFont val="Times New Roman"/>
        <family val="1"/>
        <charset val="204"/>
      </rPr>
      <t>+V</t>
    </r>
    <r>
      <rPr>
        <vertAlign val="subscript"/>
        <sz val="12"/>
        <color indexed="8"/>
        <rFont val="Times New Roman"/>
        <family val="1"/>
        <charset val="204"/>
      </rPr>
      <t>20</t>
    </r>
    <r>
      <rPr>
        <sz val="12"/>
        <color indexed="8"/>
        <rFont val="Times New Roman"/>
        <family val="1"/>
        <charset val="204"/>
      </rPr>
      <t>K</t>
    </r>
    <r>
      <rPr>
        <vertAlign val="subscript"/>
        <sz val="12"/>
        <color indexed="8"/>
        <rFont val="Times New Roman"/>
        <family val="1"/>
        <charset val="204"/>
      </rPr>
      <t>20</t>
    </r>
    <r>
      <rPr>
        <sz val="12"/>
        <color indexed="8"/>
        <rFont val="Times New Roman"/>
        <family val="1"/>
        <charset val="204"/>
      </rPr>
      <t>)</t>
    </r>
  </si>
  <si>
    <r>
      <t>m</t>
    </r>
    <r>
      <rPr>
        <b/>
        <vertAlign val="subscript"/>
        <sz val="12"/>
        <color indexed="8"/>
        <rFont val="Times New Roman"/>
        <family val="1"/>
        <charset val="204"/>
      </rPr>
      <t>4</t>
    </r>
    <r>
      <rPr>
        <b/>
        <sz val="12"/>
        <color indexed="8"/>
        <rFont val="Times New Roman"/>
        <family val="1"/>
        <charset val="204"/>
      </rPr>
      <t>=</t>
    </r>
  </si>
  <si>
    <r>
      <t>V</t>
    </r>
    <r>
      <rPr>
        <b/>
        <vertAlign val="subscript"/>
        <sz val="12"/>
        <color indexed="8"/>
        <rFont val="Times New Roman"/>
        <family val="1"/>
        <charset val="204"/>
      </rPr>
      <t>19</t>
    </r>
    <r>
      <rPr>
        <b/>
        <sz val="12"/>
        <color indexed="8"/>
        <rFont val="Times New Roman"/>
        <family val="1"/>
        <charset val="204"/>
      </rPr>
      <t>=</t>
    </r>
  </si>
  <si>
    <r>
      <t>V</t>
    </r>
    <r>
      <rPr>
        <b/>
        <vertAlign val="subscript"/>
        <sz val="12"/>
        <color indexed="8"/>
        <rFont val="Times New Roman"/>
        <family val="1"/>
        <charset val="204"/>
      </rPr>
      <t>20</t>
    </r>
    <r>
      <rPr>
        <b/>
        <sz val="12"/>
        <color indexed="8"/>
        <rFont val="Times New Roman"/>
        <family val="1"/>
        <charset val="204"/>
      </rPr>
      <t>=</t>
    </r>
  </si>
  <si>
    <r>
      <t>F</t>
    </r>
    <r>
      <rPr>
        <b/>
        <vertAlign val="subscript"/>
        <sz val="12"/>
        <color indexed="8"/>
        <rFont val="Times New Roman"/>
        <family val="1"/>
        <charset val="204"/>
      </rPr>
      <t>4</t>
    </r>
    <r>
      <rPr>
        <b/>
        <sz val="12"/>
        <color indexed="8"/>
        <rFont val="Times New Roman"/>
        <family val="1"/>
        <charset val="204"/>
      </rPr>
      <t>=</t>
    </r>
  </si>
  <si>
    <r>
      <t>V</t>
    </r>
    <r>
      <rPr>
        <b/>
        <vertAlign val="subscript"/>
        <sz val="12"/>
        <color indexed="8"/>
        <rFont val="Times New Roman"/>
        <family val="1"/>
        <charset val="204"/>
      </rPr>
      <t>21</t>
    </r>
    <r>
      <rPr>
        <b/>
        <sz val="12"/>
        <color indexed="8"/>
        <rFont val="Times New Roman"/>
        <family val="1"/>
        <charset val="204"/>
      </rPr>
      <t>=</t>
    </r>
  </si>
  <si>
    <r>
      <t>F</t>
    </r>
    <r>
      <rPr>
        <vertAlign val="subscript"/>
        <sz val="12"/>
        <color indexed="8"/>
        <rFont val="Times New Roman"/>
        <family val="1"/>
        <charset val="204"/>
      </rPr>
      <t>5</t>
    </r>
    <r>
      <rPr>
        <sz val="12"/>
        <color indexed="8"/>
        <rFont val="Times New Roman"/>
        <family val="1"/>
        <charset val="204"/>
      </rPr>
      <t>=m</t>
    </r>
    <r>
      <rPr>
        <vertAlign val="subscript"/>
        <sz val="12"/>
        <color indexed="8"/>
        <rFont val="Times New Roman"/>
        <family val="1"/>
        <charset val="204"/>
      </rPr>
      <t>5</t>
    </r>
    <r>
      <rPr>
        <sz val="12"/>
        <color indexed="8"/>
        <rFont val="Times New Roman"/>
        <family val="1"/>
        <charset val="204"/>
      </rPr>
      <t>(V</t>
    </r>
    <r>
      <rPr>
        <vertAlign val="subscript"/>
        <sz val="12"/>
        <color indexed="8"/>
        <rFont val="Times New Roman"/>
        <family val="1"/>
        <charset val="204"/>
      </rPr>
      <t>21</t>
    </r>
    <r>
      <rPr>
        <sz val="12"/>
        <color indexed="8"/>
        <rFont val="Times New Roman"/>
        <family val="1"/>
        <charset val="204"/>
      </rPr>
      <t>K</t>
    </r>
    <r>
      <rPr>
        <vertAlign val="subscript"/>
        <sz val="12"/>
        <color indexed="8"/>
        <rFont val="Times New Roman"/>
        <family val="1"/>
        <charset val="204"/>
      </rPr>
      <t>21</t>
    </r>
    <r>
      <rPr>
        <sz val="12"/>
        <color indexed="8"/>
        <rFont val="Times New Roman"/>
        <family val="1"/>
        <charset val="204"/>
      </rPr>
      <t>+ +V</t>
    </r>
    <r>
      <rPr>
        <vertAlign val="subscript"/>
        <sz val="12"/>
        <color indexed="8"/>
        <rFont val="Times New Roman"/>
        <family val="1"/>
        <charset val="204"/>
      </rPr>
      <t>22</t>
    </r>
    <r>
      <rPr>
        <sz val="12"/>
        <color indexed="8"/>
        <rFont val="Times New Roman"/>
        <family val="1"/>
        <charset val="204"/>
      </rPr>
      <t>K</t>
    </r>
    <r>
      <rPr>
        <vertAlign val="subscript"/>
        <sz val="12"/>
        <color indexed="8"/>
        <rFont val="Times New Roman"/>
        <family val="1"/>
        <charset val="204"/>
      </rPr>
      <t>22</t>
    </r>
    <r>
      <rPr>
        <sz val="12"/>
        <color indexed="8"/>
        <rFont val="Times New Roman"/>
        <family val="1"/>
        <charset val="204"/>
      </rPr>
      <t>)</t>
    </r>
  </si>
  <si>
    <r>
      <t>m</t>
    </r>
    <r>
      <rPr>
        <b/>
        <vertAlign val="subscript"/>
        <sz val="12"/>
        <color indexed="8"/>
        <rFont val="Times New Roman"/>
        <family val="1"/>
        <charset val="204"/>
      </rPr>
      <t>5</t>
    </r>
    <r>
      <rPr>
        <b/>
        <sz val="12"/>
        <color indexed="8"/>
        <rFont val="Times New Roman"/>
        <family val="1"/>
        <charset val="204"/>
      </rPr>
      <t>=</t>
    </r>
  </si>
  <si>
    <r>
      <t>V</t>
    </r>
    <r>
      <rPr>
        <b/>
        <vertAlign val="subscript"/>
        <sz val="12"/>
        <color indexed="8"/>
        <rFont val="Times New Roman"/>
        <family val="1"/>
        <charset val="204"/>
      </rPr>
      <t>22</t>
    </r>
    <r>
      <rPr>
        <b/>
        <sz val="12"/>
        <color indexed="8"/>
        <rFont val="Times New Roman"/>
        <family val="1"/>
        <charset val="204"/>
      </rPr>
      <t>=</t>
    </r>
  </si>
  <si>
    <r>
      <t>F</t>
    </r>
    <r>
      <rPr>
        <b/>
        <vertAlign val="subscript"/>
        <sz val="12"/>
        <color indexed="8"/>
        <rFont val="Times New Roman"/>
        <family val="1"/>
        <charset val="204"/>
      </rPr>
      <t>5</t>
    </r>
    <r>
      <rPr>
        <b/>
        <sz val="12"/>
        <color indexed="8"/>
        <rFont val="Times New Roman"/>
        <family val="1"/>
        <charset val="204"/>
      </rPr>
      <t>=</t>
    </r>
  </si>
  <si>
    <r>
      <t>V</t>
    </r>
    <r>
      <rPr>
        <b/>
        <vertAlign val="subscript"/>
        <sz val="12"/>
        <color indexed="8"/>
        <rFont val="Times New Roman"/>
        <family val="1"/>
        <charset val="204"/>
      </rPr>
      <t>23</t>
    </r>
    <r>
      <rPr>
        <b/>
        <sz val="12"/>
        <color indexed="8"/>
        <rFont val="Times New Roman"/>
        <family val="1"/>
        <charset val="204"/>
      </rPr>
      <t>=</t>
    </r>
  </si>
  <si>
    <r>
      <t>m</t>
    </r>
    <r>
      <rPr>
        <b/>
        <vertAlign val="subscript"/>
        <sz val="12"/>
        <color indexed="8"/>
        <rFont val="Times New Roman"/>
        <family val="1"/>
        <charset val="204"/>
      </rPr>
      <t>6</t>
    </r>
    <r>
      <rPr>
        <b/>
        <sz val="12"/>
        <color indexed="8"/>
        <rFont val="Times New Roman"/>
        <family val="1"/>
        <charset val="204"/>
      </rPr>
      <t>=</t>
    </r>
  </si>
  <si>
    <r>
      <t>V</t>
    </r>
    <r>
      <rPr>
        <b/>
        <vertAlign val="subscript"/>
        <sz val="12"/>
        <color indexed="8"/>
        <rFont val="Times New Roman"/>
        <family val="1"/>
        <charset val="204"/>
      </rPr>
      <t>24</t>
    </r>
    <r>
      <rPr>
        <b/>
        <sz val="12"/>
        <color indexed="8"/>
        <rFont val="Times New Roman"/>
        <family val="1"/>
        <charset val="204"/>
      </rPr>
      <t>=</t>
    </r>
  </si>
  <si>
    <r>
      <t>V</t>
    </r>
    <r>
      <rPr>
        <b/>
        <vertAlign val="subscript"/>
        <sz val="12"/>
        <color indexed="8"/>
        <rFont val="Times New Roman"/>
        <family val="1"/>
        <charset val="204"/>
      </rPr>
      <t>25</t>
    </r>
    <r>
      <rPr>
        <b/>
        <sz val="12"/>
        <color indexed="8"/>
        <rFont val="Times New Roman"/>
        <family val="1"/>
        <charset val="204"/>
      </rPr>
      <t>=</t>
    </r>
  </si>
  <si>
    <r>
      <t>F</t>
    </r>
    <r>
      <rPr>
        <vertAlign val="subscript"/>
        <sz val="12"/>
        <color indexed="8"/>
        <rFont val="Times New Roman"/>
        <family val="1"/>
        <charset val="204"/>
      </rPr>
      <t>6</t>
    </r>
    <r>
      <rPr>
        <sz val="12"/>
        <color indexed="8"/>
        <rFont val="Times New Roman"/>
        <family val="1"/>
        <charset val="204"/>
      </rPr>
      <t>=m</t>
    </r>
    <r>
      <rPr>
        <vertAlign val="subscript"/>
        <sz val="12"/>
        <color indexed="8"/>
        <rFont val="Times New Roman"/>
        <family val="1"/>
        <charset val="204"/>
      </rPr>
      <t>6</t>
    </r>
    <r>
      <rPr>
        <sz val="12"/>
        <color indexed="8"/>
        <rFont val="Times New Roman"/>
        <family val="1"/>
        <charset val="204"/>
      </rPr>
      <t>(V</t>
    </r>
    <r>
      <rPr>
        <vertAlign val="subscript"/>
        <sz val="12"/>
        <color indexed="8"/>
        <rFont val="Times New Roman"/>
        <family val="1"/>
        <charset val="204"/>
      </rPr>
      <t>23</t>
    </r>
    <r>
      <rPr>
        <sz val="12"/>
        <color indexed="8"/>
        <rFont val="Times New Roman"/>
        <family val="1"/>
        <charset val="204"/>
      </rPr>
      <t>K</t>
    </r>
    <r>
      <rPr>
        <vertAlign val="subscript"/>
        <sz val="12"/>
        <color indexed="8"/>
        <rFont val="Times New Roman"/>
        <family val="1"/>
        <charset val="204"/>
      </rPr>
      <t>23</t>
    </r>
    <r>
      <rPr>
        <sz val="12"/>
        <color indexed="8"/>
        <rFont val="Times New Roman"/>
        <family val="1"/>
        <charset val="204"/>
      </rPr>
      <t>+ +V</t>
    </r>
    <r>
      <rPr>
        <vertAlign val="subscript"/>
        <sz val="12"/>
        <color indexed="8"/>
        <rFont val="Times New Roman"/>
        <family val="1"/>
        <charset val="204"/>
      </rPr>
      <t>24</t>
    </r>
    <r>
      <rPr>
        <sz val="12"/>
        <color indexed="8"/>
        <rFont val="Times New Roman"/>
        <family val="1"/>
        <charset val="204"/>
      </rPr>
      <t>K</t>
    </r>
    <r>
      <rPr>
        <vertAlign val="subscript"/>
        <sz val="12"/>
        <color indexed="8"/>
        <rFont val="Times New Roman"/>
        <family val="1"/>
        <charset val="204"/>
      </rPr>
      <t>24</t>
    </r>
    <r>
      <rPr>
        <sz val="12"/>
        <color indexed="8"/>
        <rFont val="Times New Roman"/>
        <family val="1"/>
        <charset val="204"/>
      </rPr>
      <t>+V</t>
    </r>
    <r>
      <rPr>
        <vertAlign val="subscript"/>
        <sz val="12"/>
        <color indexed="8"/>
        <rFont val="Times New Roman"/>
        <family val="1"/>
        <charset val="204"/>
      </rPr>
      <t>25</t>
    </r>
    <r>
      <rPr>
        <sz val="12"/>
        <color indexed="8"/>
        <rFont val="Times New Roman"/>
        <family val="1"/>
        <charset val="204"/>
      </rPr>
      <t>K</t>
    </r>
    <r>
      <rPr>
        <vertAlign val="subscript"/>
        <sz val="12"/>
        <color indexed="8"/>
        <rFont val="Times New Roman"/>
        <family val="1"/>
        <charset val="204"/>
      </rPr>
      <t>25</t>
    </r>
    <r>
      <rPr>
        <sz val="12"/>
        <color indexed="8"/>
        <rFont val="Times New Roman"/>
        <family val="1"/>
        <charset val="204"/>
      </rPr>
      <t>)</t>
    </r>
  </si>
  <si>
    <r>
      <t>F</t>
    </r>
    <r>
      <rPr>
        <b/>
        <vertAlign val="subscript"/>
        <sz val="12"/>
        <color indexed="8"/>
        <rFont val="Times New Roman"/>
        <family val="1"/>
        <charset val="204"/>
      </rPr>
      <t>6</t>
    </r>
    <r>
      <rPr>
        <b/>
        <sz val="12"/>
        <color indexed="8"/>
        <rFont val="Times New Roman"/>
        <family val="1"/>
        <charset val="204"/>
      </rPr>
      <t>=</t>
    </r>
  </si>
  <si>
    <r>
      <t>V</t>
    </r>
    <r>
      <rPr>
        <b/>
        <vertAlign val="subscript"/>
        <sz val="12"/>
        <color indexed="8"/>
        <rFont val="Times New Roman"/>
        <family val="1"/>
        <charset val="204"/>
      </rPr>
      <t>26</t>
    </r>
    <r>
      <rPr>
        <b/>
        <sz val="12"/>
        <color indexed="8"/>
        <rFont val="Times New Roman"/>
        <family val="1"/>
        <charset val="204"/>
      </rPr>
      <t>=</t>
    </r>
  </si>
  <si>
    <r>
      <t>V</t>
    </r>
    <r>
      <rPr>
        <b/>
        <vertAlign val="subscript"/>
        <sz val="12"/>
        <color indexed="8"/>
        <rFont val="Times New Roman"/>
        <family val="1"/>
        <charset val="204"/>
      </rPr>
      <t>27</t>
    </r>
    <r>
      <rPr>
        <b/>
        <sz val="12"/>
        <color indexed="8"/>
        <rFont val="Times New Roman"/>
        <family val="1"/>
        <charset val="204"/>
      </rPr>
      <t>=</t>
    </r>
  </si>
  <si>
    <r>
      <t>F</t>
    </r>
    <r>
      <rPr>
        <vertAlign val="subscript"/>
        <sz val="12"/>
        <color indexed="8"/>
        <rFont val="Times New Roman"/>
        <family val="1"/>
        <charset val="204"/>
      </rPr>
      <t>7</t>
    </r>
    <r>
      <rPr>
        <sz val="12"/>
        <color indexed="8"/>
        <rFont val="Times New Roman"/>
        <family val="1"/>
        <charset val="204"/>
      </rPr>
      <t>=m</t>
    </r>
    <r>
      <rPr>
        <vertAlign val="subscript"/>
        <sz val="12"/>
        <color indexed="8"/>
        <rFont val="Times New Roman"/>
        <family val="1"/>
        <charset val="204"/>
      </rPr>
      <t>7</t>
    </r>
    <r>
      <rPr>
        <sz val="12"/>
        <color indexed="8"/>
        <rFont val="Times New Roman"/>
        <family val="1"/>
        <charset val="204"/>
      </rPr>
      <t>(V</t>
    </r>
    <r>
      <rPr>
        <vertAlign val="subscript"/>
        <sz val="12"/>
        <color indexed="8"/>
        <rFont val="Times New Roman"/>
        <family val="1"/>
        <charset val="204"/>
      </rPr>
      <t>26</t>
    </r>
    <r>
      <rPr>
        <sz val="12"/>
        <color indexed="8"/>
        <rFont val="Times New Roman"/>
        <family val="1"/>
        <charset val="204"/>
      </rPr>
      <t>K</t>
    </r>
    <r>
      <rPr>
        <vertAlign val="subscript"/>
        <sz val="12"/>
        <color indexed="8"/>
        <rFont val="Times New Roman"/>
        <family val="1"/>
        <charset val="204"/>
      </rPr>
      <t>26</t>
    </r>
    <r>
      <rPr>
        <sz val="12"/>
        <color indexed="8"/>
        <rFont val="Times New Roman"/>
        <family val="1"/>
        <charset val="204"/>
      </rPr>
      <t>+ +V</t>
    </r>
    <r>
      <rPr>
        <vertAlign val="subscript"/>
        <sz val="12"/>
        <color indexed="8"/>
        <rFont val="Times New Roman"/>
        <family val="1"/>
        <charset val="204"/>
      </rPr>
      <t>27</t>
    </r>
    <r>
      <rPr>
        <sz val="12"/>
        <color indexed="8"/>
        <rFont val="Times New Roman"/>
        <family val="1"/>
        <charset val="204"/>
      </rPr>
      <t>K</t>
    </r>
    <r>
      <rPr>
        <vertAlign val="subscript"/>
        <sz val="12"/>
        <color indexed="8"/>
        <rFont val="Times New Roman"/>
        <family val="1"/>
        <charset val="204"/>
      </rPr>
      <t>27</t>
    </r>
    <r>
      <rPr>
        <sz val="12"/>
        <color indexed="8"/>
        <rFont val="Times New Roman"/>
        <family val="1"/>
        <charset val="204"/>
      </rPr>
      <t>+V</t>
    </r>
    <r>
      <rPr>
        <vertAlign val="subscript"/>
        <sz val="12"/>
        <color indexed="8"/>
        <rFont val="Times New Roman"/>
        <family val="1"/>
        <charset val="204"/>
      </rPr>
      <t>28</t>
    </r>
    <r>
      <rPr>
        <sz val="12"/>
        <color indexed="8"/>
        <rFont val="Times New Roman"/>
        <family val="1"/>
        <charset val="204"/>
      </rPr>
      <t>K</t>
    </r>
    <r>
      <rPr>
        <vertAlign val="subscript"/>
        <sz val="12"/>
        <color indexed="8"/>
        <rFont val="Times New Roman"/>
        <family val="1"/>
        <charset val="204"/>
      </rPr>
      <t>28</t>
    </r>
    <r>
      <rPr>
        <sz val="12"/>
        <color indexed="8"/>
        <rFont val="Times New Roman"/>
        <family val="1"/>
        <charset val="204"/>
      </rPr>
      <t>+ +V</t>
    </r>
    <r>
      <rPr>
        <vertAlign val="subscript"/>
        <sz val="12"/>
        <color indexed="8"/>
        <rFont val="Times New Roman"/>
        <family val="1"/>
        <charset val="204"/>
      </rPr>
      <t>29</t>
    </r>
    <r>
      <rPr>
        <sz val="12"/>
        <color indexed="8"/>
        <rFont val="Times New Roman"/>
        <family val="1"/>
        <charset val="204"/>
      </rPr>
      <t>K</t>
    </r>
    <r>
      <rPr>
        <vertAlign val="subscript"/>
        <sz val="12"/>
        <color indexed="8"/>
        <rFont val="Times New Roman"/>
        <family val="1"/>
        <charset val="204"/>
      </rPr>
      <t>29</t>
    </r>
    <r>
      <rPr>
        <sz val="12"/>
        <color indexed="8"/>
        <rFont val="Times New Roman"/>
        <family val="1"/>
        <charset val="204"/>
      </rPr>
      <t>+V</t>
    </r>
    <r>
      <rPr>
        <vertAlign val="subscript"/>
        <sz val="12"/>
        <color indexed="8"/>
        <rFont val="Times New Roman"/>
        <family val="1"/>
        <charset val="204"/>
      </rPr>
      <t>30</t>
    </r>
    <r>
      <rPr>
        <sz val="12"/>
        <color indexed="8"/>
        <rFont val="Times New Roman"/>
        <family val="1"/>
        <charset val="204"/>
      </rPr>
      <t>K</t>
    </r>
    <r>
      <rPr>
        <vertAlign val="subscript"/>
        <sz val="12"/>
        <color indexed="8"/>
        <rFont val="Times New Roman"/>
        <family val="1"/>
        <charset val="204"/>
      </rPr>
      <t>30</t>
    </r>
    <r>
      <rPr>
        <sz val="12"/>
        <color indexed="8"/>
        <rFont val="Times New Roman"/>
        <family val="1"/>
        <charset val="204"/>
      </rPr>
      <t>+ +V</t>
    </r>
    <r>
      <rPr>
        <vertAlign val="subscript"/>
        <sz val="12"/>
        <color indexed="8"/>
        <rFont val="Times New Roman"/>
        <family val="1"/>
        <charset val="204"/>
      </rPr>
      <t>31</t>
    </r>
    <r>
      <rPr>
        <sz val="12"/>
        <color indexed="8"/>
        <rFont val="Times New Roman"/>
        <family val="1"/>
        <charset val="204"/>
      </rPr>
      <t>K</t>
    </r>
    <r>
      <rPr>
        <vertAlign val="subscript"/>
        <sz val="12"/>
        <color indexed="8"/>
        <rFont val="Times New Roman"/>
        <family val="1"/>
        <charset val="204"/>
      </rPr>
      <t>31</t>
    </r>
    <r>
      <rPr>
        <sz val="12"/>
        <color indexed="8"/>
        <rFont val="Times New Roman"/>
        <family val="1"/>
        <charset val="204"/>
      </rPr>
      <t>)</t>
    </r>
  </si>
  <si>
    <r>
      <t>V</t>
    </r>
    <r>
      <rPr>
        <b/>
        <vertAlign val="subscript"/>
        <sz val="12"/>
        <color indexed="8"/>
        <rFont val="Times New Roman"/>
        <family val="1"/>
        <charset val="204"/>
      </rPr>
      <t>28</t>
    </r>
    <r>
      <rPr>
        <b/>
        <sz val="12"/>
        <color indexed="8"/>
        <rFont val="Times New Roman"/>
        <family val="1"/>
        <charset val="204"/>
      </rPr>
      <t>=</t>
    </r>
  </si>
  <si>
    <r>
      <t>m</t>
    </r>
    <r>
      <rPr>
        <b/>
        <vertAlign val="subscript"/>
        <sz val="12"/>
        <color indexed="8"/>
        <rFont val="Times New Roman"/>
        <family val="1"/>
        <charset val="204"/>
      </rPr>
      <t>7</t>
    </r>
    <r>
      <rPr>
        <b/>
        <sz val="12"/>
        <color indexed="8"/>
        <rFont val="Times New Roman"/>
        <family val="1"/>
        <charset val="204"/>
      </rPr>
      <t>=</t>
    </r>
  </si>
  <si>
    <r>
      <t>V</t>
    </r>
    <r>
      <rPr>
        <b/>
        <vertAlign val="subscript"/>
        <sz val="12"/>
        <color indexed="8"/>
        <rFont val="Times New Roman"/>
        <family val="1"/>
        <charset val="204"/>
      </rPr>
      <t>29</t>
    </r>
    <r>
      <rPr>
        <b/>
        <sz val="12"/>
        <color indexed="8"/>
        <rFont val="Times New Roman"/>
        <family val="1"/>
        <charset val="204"/>
      </rPr>
      <t>=</t>
    </r>
  </si>
  <si>
    <r>
      <t>V</t>
    </r>
    <r>
      <rPr>
        <b/>
        <vertAlign val="subscript"/>
        <sz val="12"/>
        <color indexed="8"/>
        <rFont val="Times New Roman"/>
        <family val="1"/>
        <charset val="204"/>
      </rPr>
      <t>30</t>
    </r>
    <r>
      <rPr>
        <b/>
        <sz val="12"/>
        <color indexed="8"/>
        <rFont val="Times New Roman"/>
        <family val="1"/>
        <charset val="204"/>
      </rPr>
      <t>=</t>
    </r>
  </si>
  <si>
    <r>
      <t>F</t>
    </r>
    <r>
      <rPr>
        <b/>
        <vertAlign val="subscript"/>
        <sz val="12"/>
        <color indexed="8"/>
        <rFont val="Times New Roman"/>
        <family val="1"/>
        <charset val="204"/>
      </rPr>
      <t>7</t>
    </r>
    <r>
      <rPr>
        <b/>
        <sz val="12"/>
        <color indexed="8"/>
        <rFont val="Times New Roman"/>
        <family val="1"/>
        <charset val="204"/>
      </rPr>
      <t>=</t>
    </r>
  </si>
  <si>
    <r>
      <t>V</t>
    </r>
    <r>
      <rPr>
        <b/>
        <vertAlign val="subscript"/>
        <sz val="12"/>
        <color indexed="8"/>
        <rFont val="Times New Roman"/>
        <family val="1"/>
        <charset val="204"/>
      </rPr>
      <t>31</t>
    </r>
    <r>
      <rPr>
        <b/>
        <sz val="12"/>
        <color indexed="8"/>
        <rFont val="Times New Roman"/>
        <family val="1"/>
        <charset val="204"/>
      </rPr>
      <t>=</t>
    </r>
  </si>
  <si>
    <r>
      <t>V</t>
    </r>
    <r>
      <rPr>
        <b/>
        <vertAlign val="subscript"/>
        <sz val="12"/>
        <color indexed="8"/>
        <rFont val="Times New Roman"/>
        <family val="1"/>
        <charset val="204"/>
      </rPr>
      <t>32</t>
    </r>
    <r>
      <rPr>
        <b/>
        <sz val="12"/>
        <color indexed="8"/>
        <rFont val="Times New Roman"/>
        <family val="1"/>
        <charset val="204"/>
      </rPr>
      <t>=</t>
    </r>
  </si>
  <si>
    <r>
      <t>F</t>
    </r>
    <r>
      <rPr>
        <vertAlign val="subscript"/>
        <sz val="12"/>
        <color indexed="8"/>
        <rFont val="Times New Roman"/>
        <family val="1"/>
        <charset val="204"/>
      </rPr>
      <t>8</t>
    </r>
    <r>
      <rPr>
        <sz val="12"/>
        <color indexed="8"/>
        <rFont val="Times New Roman"/>
        <family val="1"/>
        <charset val="204"/>
      </rPr>
      <t>=m</t>
    </r>
    <r>
      <rPr>
        <vertAlign val="subscript"/>
        <sz val="12"/>
        <color indexed="8"/>
        <rFont val="Times New Roman"/>
        <family val="1"/>
        <charset val="204"/>
      </rPr>
      <t>8</t>
    </r>
    <r>
      <rPr>
        <sz val="12"/>
        <color indexed="8"/>
        <rFont val="Times New Roman"/>
        <family val="1"/>
        <charset val="204"/>
      </rPr>
      <t>(V</t>
    </r>
    <r>
      <rPr>
        <vertAlign val="subscript"/>
        <sz val="12"/>
        <color indexed="8"/>
        <rFont val="Times New Roman"/>
        <family val="1"/>
        <charset val="204"/>
      </rPr>
      <t>32</t>
    </r>
    <r>
      <rPr>
        <sz val="12"/>
        <color indexed="8"/>
        <rFont val="Times New Roman"/>
        <family val="1"/>
        <charset val="204"/>
      </rPr>
      <t>K</t>
    </r>
    <r>
      <rPr>
        <vertAlign val="subscript"/>
        <sz val="12"/>
        <color indexed="8"/>
        <rFont val="Times New Roman"/>
        <family val="1"/>
        <charset val="204"/>
      </rPr>
      <t>32</t>
    </r>
    <r>
      <rPr>
        <sz val="12"/>
        <color indexed="8"/>
        <rFont val="Times New Roman"/>
        <family val="1"/>
        <charset val="204"/>
      </rPr>
      <t>+ +V</t>
    </r>
    <r>
      <rPr>
        <vertAlign val="subscript"/>
        <sz val="12"/>
        <color indexed="8"/>
        <rFont val="Times New Roman"/>
        <family val="1"/>
        <charset val="204"/>
      </rPr>
      <t>33</t>
    </r>
    <r>
      <rPr>
        <sz val="12"/>
        <color indexed="8"/>
        <rFont val="Times New Roman"/>
        <family val="1"/>
        <charset val="204"/>
      </rPr>
      <t>K</t>
    </r>
    <r>
      <rPr>
        <vertAlign val="subscript"/>
        <sz val="12"/>
        <color indexed="8"/>
        <rFont val="Times New Roman"/>
        <family val="1"/>
        <charset val="204"/>
      </rPr>
      <t>33</t>
    </r>
    <r>
      <rPr>
        <sz val="12"/>
        <color indexed="8"/>
        <rFont val="Times New Roman"/>
        <family val="1"/>
        <charset val="204"/>
      </rPr>
      <t>+V</t>
    </r>
    <r>
      <rPr>
        <vertAlign val="subscript"/>
        <sz val="12"/>
        <color indexed="8"/>
        <rFont val="Times New Roman"/>
        <family val="1"/>
        <charset val="204"/>
      </rPr>
      <t>34</t>
    </r>
    <r>
      <rPr>
        <sz val="12"/>
        <color indexed="8"/>
        <rFont val="Times New Roman"/>
        <family val="1"/>
        <charset val="204"/>
      </rPr>
      <t>K</t>
    </r>
    <r>
      <rPr>
        <vertAlign val="subscript"/>
        <sz val="12"/>
        <color indexed="8"/>
        <rFont val="Times New Roman"/>
        <family val="1"/>
        <charset val="204"/>
      </rPr>
      <t>34</t>
    </r>
    <r>
      <rPr>
        <sz val="12"/>
        <color indexed="8"/>
        <rFont val="Times New Roman"/>
        <family val="1"/>
        <charset val="204"/>
      </rPr>
      <t>+ +V</t>
    </r>
    <r>
      <rPr>
        <vertAlign val="subscript"/>
        <sz val="12"/>
        <color indexed="8"/>
        <rFont val="Times New Roman"/>
        <family val="1"/>
        <charset val="204"/>
      </rPr>
      <t>35</t>
    </r>
    <r>
      <rPr>
        <sz val="12"/>
        <color indexed="8"/>
        <rFont val="Times New Roman"/>
        <family val="1"/>
        <charset val="204"/>
      </rPr>
      <t>K</t>
    </r>
    <r>
      <rPr>
        <vertAlign val="subscript"/>
        <sz val="12"/>
        <color indexed="8"/>
        <rFont val="Times New Roman"/>
        <family val="1"/>
        <charset val="204"/>
      </rPr>
      <t>35</t>
    </r>
    <r>
      <rPr>
        <sz val="12"/>
        <color indexed="8"/>
        <rFont val="Times New Roman"/>
        <family val="1"/>
        <charset val="204"/>
      </rPr>
      <t>)</t>
    </r>
  </si>
  <si>
    <r>
      <t>m</t>
    </r>
    <r>
      <rPr>
        <b/>
        <vertAlign val="subscript"/>
        <sz val="12"/>
        <color indexed="8"/>
        <rFont val="Times New Roman"/>
        <family val="1"/>
        <charset val="204"/>
      </rPr>
      <t>8</t>
    </r>
    <r>
      <rPr>
        <b/>
        <sz val="12"/>
        <color indexed="8"/>
        <rFont val="Times New Roman"/>
        <family val="1"/>
        <charset val="204"/>
      </rPr>
      <t>=</t>
    </r>
  </si>
  <si>
    <r>
      <t>V</t>
    </r>
    <r>
      <rPr>
        <b/>
        <vertAlign val="subscript"/>
        <sz val="12"/>
        <color indexed="8"/>
        <rFont val="Times New Roman"/>
        <family val="1"/>
        <charset val="204"/>
      </rPr>
      <t>33</t>
    </r>
    <r>
      <rPr>
        <b/>
        <sz val="12"/>
        <color indexed="8"/>
        <rFont val="Times New Roman"/>
        <family val="1"/>
        <charset val="204"/>
      </rPr>
      <t>=</t>
    </r>
  </si>
  <si>
    <r>
      <t>V</t>
    </r>
    <r>
      <rPr>
        <b/>
        <vertAlign val="subscript"/>
        <sz val="12"/>
        <color indexed="8"/>
        <rFont val="Times New Roman"/>
        <family val="1"/>
        <charset val="204"/>
      </rPr>
      <t>34</t>
    </r>
    <r>
      <rPr>
        <b/>
        <sz val="12"/>
        <color indexed="8"/>
        <rFont val="Times New Roman"/>
        <family val="1"/>
        <charset val="204"/>
      </rPr>
      <t>=</t>
    </r>
  </si>
  <si>
    <r>
      <t>F</t>
    </r>
    <r>
      <rPr>
        <b/>
        <vertAlign val="subscript"/>
        <sz val="12"/>
        <color indexed="8"/>
        <rFont val="Times New Roman"/>
        <family val="1"/>
        <charset val="204"/>
      </rPr>
      <t>8</t>
    </r>
    <r>
      <rPr>
        <b/>
        <sz val="12"/>
        <color indexed="8"/>
        <rFont val="Times New Roman"/>
        <family val="1"/>
        <charset val="204"/>
      </rPr>
      <t>=</t>
    </r>
  </si>
  <si>
    <r>
      <t>V</t>
    </r>
    <r>
      <rPr>
        <b/>
        <vertAlign val="subscript"/>
        <sz val="12"/>
        <color indexed="8"/>
        <rFont val="Times New Roman"/>
        <family val="1"/>
        <charset val="204"/>
      </rPr>
      <t>35</t>
    </r>
    <r>
      <rPr>
        <b/>
        <sz val="12"/>
        <color indexed="8"/>
        <rFont val="Times New Roman"/>
        <family val="1"/>
        <charset val="204"/>
      </rPr>
      <t>=</t>
    </r>
  </si>
  <si>
    <r>
      <t>V</t>
    </r>
    <r>
      <rPr>
        <b/>
        <vertAlign val="subscript"/>
        <sz val="12"/>
        <color indexed="8"/>
        <rFont val="Times New Roman"/>
        <family val="1"/>
        <charset val="204"/>
      </rPr>
      <t>36</t>
    </r>
    <r>
      <rPr>
        <b/>
        <sz val="12"/>
        <color indexed="8"/>
        <rFont val="Times New Roman"/>
        <family val="1"/>
        <charset val="204"/>
      </rPr>
      <t>=</t>
    </r>
  </si>
  <si>
    <r>
      <t>m</t>
    </r>
    <r>
      <rPr>
        <b/>
        <vertAlign val="subscript"/>
        <sz val="12"/>
        <color indexed="8"/>
        <rFont val="Times New Roman"/>
        <family val="1"/>
        <charset val="204"/>
      </rPr>
      <t>9</t>
    </r>
    <r>
      <rPr>
        <b/>
        <sz val="12"/>
        <color indexed="8"/>
        <rFont val="Times New Roman"/>
        <family val="1"/>
        <charset val="204"/>
      </rPr>
      <t>=</t>
    </r>
  </si>
  <si>
    <r>
      <t>V</t>
    </r>
    <r>
      <rPr>
        <b/>
        <vertAlign val="subscript"/>
        <sz val="12"/>
        <color indexed="8"/>
        <rFont val="Times New Roman"/>
        <family val="1"/>
        <charset val="204"/>
      </rPr>
      <t>37</t>
    </r>
    <r>
      <rPr>
        <b/>
        <sz val="12"/>
        <color indexed="8"/>
        <rFont val="Times New Roman"/>
        <family val="1"/>
        <charset val="204"/>
      </rPr>
      <t>=</t>
    </r>
  </si>
  <si>
    <r>
      <t>F</t>
    </r>
    <r>
      <rPr>
        <vertAlign val="subscript"/>
        <sz val="12"/>
        <color indexed="8"/>
        <rFont val="Times New Roman"/>
        <family val="1"/>
        <charset val="204"/>
      </rPr>
      <t>9</t>
    </r>
    <r>
      <rPr>
        <sz val="12"/>
        <color indexed="8"/>
        <rFont val="Times New Roman"/>
        <family val="1"/>
        <charset val="204"/>
      </rPr>
      <t>=m</t>
    </r>
    <r>
      <rPr>
        <vertAlign val="subscript"/>
        <sz val="12"/>
        <color indexed="8"/>
        <rFont val="Times New Roman"/>
        <family val="1"/>
        <charset val="204"/>
      </rPr>
      <t>9</t>
    </r>
    <r>
      <rPr>
        <sz val="12"/>
        <color indexed="8"/>
        <rFont val="Times New Roman"/>
        <family val="1"/>
        <charset val="204"/>
      </rPr>
      <t>(V</t>
    </r>
    <r>
      <rPr>
        <vertAlign val="subscript"/>
        <sz val="12"/>
        <color indexed="8"/>
        <rFont val="Times New Roman"/>
        <family val="1"/>
        <charset val="204"/>
      </rPr>
      <t>36</t>
    </r>
    <r>
      <rPr>
        <sz val="12"/>
        <color indexed="8"/>
        <rFont val="Times New Roman"/>
        <family val="1"/>
        <charset val="204"/>
      </rPr>
      <t>K</t>
    </r>
    <r>
      <rPr>
        <vertAlign val="subscript"/>
        <sz val="12"/>
        <color indexed="8"/>
        <rFont val="Times New Roman"/>
        <family val="1"/>
        <charset val="204"/>
      </rPr>
      <t>36</t>
    </r>
    <r>
      <rPr>
        <sz val="12"/>
        <color indexed="8"/>
        <rFont val="Times New Roman"/>
        <family val="1"/>
        <charset val="204"/>
      </rPr>
      <t>+ +V</t>
    </r>
    <r>
      <rPr>
        <vertAlign val="subscript"/>
        <sz val="12"/>
        <color indexed="8"/>
        <rFont val="Times New Roman"/>
        <family val="1"/>
        <charset val="204"/>
      </rPr>
      <t>37</t>
    </r>
    <r>
      <rPr>
        <sz val="12"/>
        <color indexed="8"/>
        <rFont val="Times New Roman"/>
        <family val="1"/>
        <charset val="204"/>
      </rPr>
      <t>K</t>
    </r>
    <r>
      <rPr>
        <vertAlign val="subscript"/>
        <sz val="12"/>
        <color indexed="8"/>
        <rFont val="Times New Roman"/>
        <family val="1"/>
        <charset val="204"/>
      </rPr>
      <t>37</t>
    </r>
    <r>
      <rPr>
        <sz val="12"/>
        <color indexed="8"/>
        <rFont val="Times New Roman"/>
        <family val="1"/>
        <charset val="204"/>
      </rPr>
      <t>+V</t>
    </r>
    <r>
      <rPr>
        <vertAlign val="subscript"/>
        <sz val="12"/>
        <color indexed="8"/>
        <rFont val="Times New Roman"/>
        <family val="1"/>
        <charset val="204"/>
      </rPr>
      <t>38</t>
    </r>
    <r>
      <rPr>
        <sz val="12"/>
        <color indexed="8"/>
        <rFont val="Times New Roman"/>
        <family val="1"/>
        <charset val="204"/>
      </rPr>
      <t>K</t>
    </r>
    <r>
      <rPr>
        <vertAlign val="subscript"/>
        <sz val="12"/>
        <color indexed="8"/>
        <rFont val="Times New Roman"/>
        <family val="1"/>
        <charset val="204"/>
      </rPr>
      <t>38</t>
    </r>
    <r>
      <rPr>
        <sz val="12"/>
        <color indexed="8"/>
        <rFont val="Times New Roman"/>
        <family val="1"/>
        <charset val="204"/>
      </rPr>
      <t>+ +V</t>
    </r>
    <r>
      <rPr>
        <vertAlign val="subscript"/>
        <sz val="12"/>
        <color indexed="8"/>
        <rFont val="Times New Roman"/>
        <family val="1"/>
        <charset val="204"/>
      </rPr>
      <t>39</t>
    </r>
    <r>
      <rPr>
        <sz val="12"/>
        <color indexed="8"/>
        <rFont val="Times New Roman"/>
        <family val="1"/>
        <charset val="204"/>
      </rPr>
      <t>K</t>
    </r>
    <r>
      <rPr>
        <vertAlign val="subscript"/>
        <sz val="12"/>
        <color indexed="8"/>
        <rFont val="Times New Roman"/>
        <family val="1"/>
        <charset val="204"/>
      </rPr>
      <t>39</t>
    </r>
    <r>
      <rPr>
        <sz val="12"/>
        <color indexed="8"/>
        <rFont val="Times New Roman"/>
        <family val="1"/>
        <charset val="204"/>
      </rPr>
      <t>)</t>
    </r>
  </si>
  <si>
    <r>
      <t>V</t>
    </r>
    <r>
      <rPr>
        <b/>
        <vertAlign val="subscript"/>
        <sz val="12"/>
        <color indexed="8"/>
        <rFont val="Times New Roman"/>
        <family val="1"/>
        <charset val="204"/>
      </rPr>
      <t>38</t>
    </r>
    <r>
      <rPr>
        <b/>
        <sz val="12"/>
        <color indexed="8"/>
        <rFont val="Times New Roman"/>
        <family val="1"/>
        <charset val="204"/>
      </rPr>
      <t>=</t>
    </r>
  </si>
  <si>
    <r>
      <t>V</t>
    </r>
    <r>
      <rPr>
        <b/>
        <vertAlign val="subscript"/>
        <sz val="12"/>
        <color indexed="8"/>
        <rFont val="Times New Roman"/>
        <family val="1"/>
        <charset val="204"/>
      </rPr>
      <t>39</t>
    </r>
    <r>
      <rPr>
        <b/>
        <sz val="12"/>
        <color indexed="8"/>
        <rFont val="Times New Roman"/>
        <family val="1"/>
        <charset val="204"/>
      </rPr>
      <t>=</t>
    </r>
  </si>
  <si>
    <r>
      <t>F</t>
    </r>
    <r>
      <rPr>
        <b/>
        <vertAlign val="subscript"/>
        <sz val="12"/>
        <color indexed="8"/>
        <rFont val="Times New Roman"/>
        <family val="1"/>
        <charset val="204"/>
      </rPr>
      <t>9</t>
    </r>
    <r>
      <rPr>
        <b/>
        <sz val="12"/>
        <color indexed="8"/>
        <rFont val="Times New Roman"/>
        <family val="1"/>
        <charset val="204"/>
      </rPr>
      <t>=</t>
    </r>
  </si>
  <si>
    <r>
      <t>V</t>
    </r>
    <r>
      <rPr>
        <b/>
        <vertAlign val="subscript"/>
        <sz val="12"/>
        <color indexed="8"/>
        <rFont val="Times New Roman"/>
        <family val="1"/>
        <charset val="204"/>
      </rPr>
      <t>40</t>
    </r>
    <r>
      <rPr>
        <b/>
        <sz val="12"/>
        <color indexed="8"/>
        <rFont val="Times New Roman"/>
        <family val="1"/>
        <charset val="204"/>
      </rPr>
      <t>=</t>
    </r>
  </si>
  <si>
    <r>
      <t>V</t>
    </r>
    <r>
      <rPr>
        <b/>
        <vertAlign val="subscript"/>
        <sz val="12"/>
        <color indexed="8"/>
        <rFont val="Times New Roman"/>
        <family val="1"/>
        <charset val="204"/>
      </rPr>
      <t>41</t>
    </r>
    <r>
      <rPr>
        <b/>
        <sz val="12"/>
        <color indexed="8"/>
        <rFont val="Times New Roman"/>
        <family val="1"/>
        <charset val="204"/>
      </rPr>
      <t>=</t>
    </r>
  </si>
  <si>
    <r>
      <t>F</t>
    </r>
    <r>
      <rPr>
        <vertAlign val="subscript"/>
        <sz val="12"/>
        <color indexed="8"/>
        <rFont val="Times New Roman"/>
        <family val="1"/>
        <charset val="204"/>
      </rPr>
      <t>10</t>
    </r>
    <r>
      <rPr>
        <sz val="12"/>
        <color indexed="8"/>
        <rFont val="Times New Roman"/>
        <family val="1"/>
        <charset val="204"/>
      </rPr>
      <t>=m</t>
    </r>
    <r>
      <rPr>
        <vertAlign val="subscript"/>
        <sz val="12"/>
        <color indexed="8"/>
        <rFont val="Times New Roman"/>
        <family val="1"/>
        <charset val="204"/>
      </rPr>
      <t>10</t>
    </r>
    <r>
      <rPr>
        <sz val="12"/>
        <color indexed="8"/>
        <rFont val="Times New Roman"/>
        <family val="1"/>
        <charset val="204"/>
      </rPr>
      <t>(V</t>
    </r>
    <r>
      <rPr>
        <vertAlign val="subscript"/>
        <sz val="12"/>
        <color indexed="8"/>
        <rFont val="Times New Roman"/>
        <family val="1"/>
        <charset val="204"/>
      </rPr>
      <t>42</t>
    </r>
    <r>
      <rPr>
        <sz val="12"/>
        <color indexed="8"/>
        <rFont val="Times New Roman"/>
        <family val="1"/>
        <charset val="204"/>
      </rPr>
      <t>K</t>
    </r>
    <r>
      <rPr>
        <vertAlign val="subscript"/>
        <sz val="12"/>
        <color indexed="8"/>
        <rFont val="Times New Roman"/>
        <family val="1"/>
        <charset val="204"/>
      </rPr>
      <t>42</t>
    </r>
    <r>
      <rPr>
        <sz val="12"/>
        <color indexed="8"/>
        <rFont val="Times New Roman"/>
        <family val="1"/>
        <charset val="204"/>
      </rPr>
      <t>+ +V</t>
    </r>
    <r>
      <rPr>
        <vertAlign val="subscript"/>
        <sz val="12"/>
        <color indexed="8"/>
        <rFont val="Times New Roman"/>
        <family val="1"/>
        <charset val="204"/>
      </rPr>
      <t>43</t>
    </r>
    <r>
      <rPr>
        <sz val="12"/>
        <color indexed="8"/>
        <rFont val="Times New Roman"/>
        <family val="1"/>
        <charset val="204"/>
      </rPr>
      <t>K</t>
    </r>
    <r>
      <rPr>
        <vertAlign val="subscript"/>
        <sz val="12"/>
        <color indexed="8"/>
        <rFont val="Times New Roman"/>
        <family val="1"/>
        <charset val="204"/>
      </rPr>
      <t>43</t>
    </r>
    <r>
      <rPr>
        <sz val="12"/>
        <color indexed="8"/>
        <rFont val="Times New Roman"/>
        <family val="1"/>
        <charset val="204"/>
      </rPr>
      <t>+V</t>
    </r>
    <r>
      <rPr>
        <vertAlign val="subscript"/>
        <sz val="12"/>
        <color indexed="8"/>
        <rFont val="Times New Roman"/>
        <family val="1"/>
        <charset val="204"/>
      </rPr>
      <t>44</t>
    </r>
    <r>
      <rPr>
        <sz val="12"/>
        <color indexed="8"/>
        <rFont val="Times New Roman"/>
        <family val="1"/>
        <charset val="204"/>
      </rPr>
      <t>K</t>
    </r>
    <r>
      <rPr>
        <vertAlign val="subscript"/>
        <sz val="12"/>
        <color indexed="8"/>
        <rFont val="Times New Roman"/>
        <family val="1"/>
        <charset val="204"/>
      </rPr>
      <t>44</t>
    </r>
    <r>
      <rPr>
        <sz val="12"/>
        <color indexed="8"/>
        <rFont val="Times New Roman"/>
        <family val="1"/>
        <charset val="204"/>
      </rPr>
      <t>+ +V</t>
    </r>
    <r>
      <rPr>
        <vertAlign val="subscript"/>
        <sz val="12"/>
        <color indexed="8"/>
        <rFont val="Times New Roman"/>
        <family val="1"/>
        <charset val="204"/>
      </rPr>
      <t>45</t>
    </r>
    <r>
      <rPr>
        <sz val="12"/>
        <color indexed="8"/>
        <rFont val="Times New Roman"/>
        <family val="1"/>
        <charset val="204"/>
      </rPr>
      <t>K</t>
    </r>
    <r>
      <rPr>
        <vertAlign val="subscript"/>
        <sz val="12"/>
        <color indexed="8"/>
        <rFont val="Times New Roman"/>
        <family val="1"/>
        <charset val="204"/>
      </rPr>
      <t>45</t>
    </r>
    <r>
      <rPr>
        <sz val="12"/>
        <color indexed="8"/>
        <rFont val="Times New Roman"/>
        <family val="1"/>
        <charset val="204"/>
      </rPr>
      <t>)</t>
    </r>
  </si>
  <si>
    <r>
      <t>V</t>
    </r>
    <r>
      <rPr>
        <b/>
        <vertAlign val="subscript"/>
        <sz val="12"/>
        <color indexed="8"/>
        <rFont val="Times New Roman"/>
        <family val="1"/>
        <charset val="204"/>
      </rPr>
      <t>42</t>
    </r>
    <r>
      <rPr>
        <b/>
        <sz val="12"/>
        <color indexed="8"/>
        <rFont val="Times New Roman"/>
        <family val="1"/>
        <charset val="204"/>
      </rPr>
      <t>=</t>
    </r>
  </si>
  <si>
    <r>
      <t>m</t>
    </r>
    <r>
      <rPr>
        <b/>
        <vertAlign val="subscript"/>
        <sz val="12"/>
        <color indexed="8"/>
        <rFont val="Times New Roman"/>
        <family val="1"/>
        <charset val="204"/>
      </rPr>
      <t>10</t>
    </r>
    <r>
      <rPr>
        <b/>
        <sz val="12"/>
        <color indexed="8"/>
        <rFont val="Times New Roman"/>
        <family val="1"/>
        <charset val="204"/>
      </rPr>
      <t>=</t>
    </r>
  </si>
  <si>
    <r>
      <t>V</t>
    </r>
    <r>
      <rPr>
        <b/>
        <vertAlign val="subscript"/>
        <sz val="12"/>
        <color indexed="8"/>
        <rFont val="Times New Roman"/>
        <family val="1"/>
        <charset val="204"/>
      </rPr>
      <t>43</t>
    </r>
    <r>
      <rPr>
        <b/>
        <sz val="12"/>
        <color indexed="8"/>
        <rFont val="Times New Roman"/>
        <family val="1"/>
        <charset val="204"/>
      </rPr>
      <t>=</t>
    </r>
  </si>
  <si>
    <r>
      <t>V</t>
    </r>
    <r>
      <rPr>
        <b/>
        <vertAlign val="subscript"/>
        <sz val="12"/>
        <color indexed="8"/>
        <rFont val="Times New Roman"/>
        <family val="1"/>
        <charset val="204"/>
      </rPr>
      <t>44</t>
    </r>
    <r>
      <rPr>
        <b/>
        <sz val="12"/>
        <color indexed="8"/>
        <rFont val="Times New Roman"/>
        <family val="1"/>
        <charset val="204"/>
      </rPr>
      <t>=</t>
    </r>
  </si>
  <si>
    <r>
      <t>F</t>
    </r>
    <r>
      <rPr>
        <b/>
        <vertAlign val="subscript"/>
        <sz val="12"/>
        <color indexed="8"/>
        <rFont val="Times New Roman"/>
        <family val="1"/>
        <charset val="204"/>
      </rPr>
      <t>10</t>
    </r>
    <r>
      <rPr>
        <b/>
        <sz val="12"/>
        <color indexed="8"/>
        <rFont val="Times New Roman"/>
        <family val="1"/>
        <charset val="204"/>
      </rPr>
      <t>=</t>
    </r>
  </si>
  <si>
    <r>
      <t>V</t>
    </r>
    <r>
      <rPr>
        <b/>
        <vertAlign val="subscript"/>
        <sz val="12"/>
        <color indexed="8"/>
        <rFont val="Times New Roman"/>
        <family val="1"/>
        <charset val="204"/>
      </rPr>
      <t>45</t>
    </r>
    <r>
      <rPr>
        <b/>
        <sz val="12"/>
        <color indexed="8"/>
        <rFont val="Times New Roman"/>
        <family val="1"/>
        <charset val="204"/>
      </rPr>
      <t>=</t>
    </r>
  </si>
  <si>
    <r>
      <t>V</t>
    </r>
    <r>
      <rPr>
        <b/>
        <vertAlign val="subscript"/>
        <sz val="12"/>
        <color indexed="8"/>
        <rFont val="Times New Roman"/>
        <family val="1"/>
        <charset val="204"/>
      </rPr>
      <t>46</t>
    </r>
    <r>
      <rPr>
        <b/>
        <sz val="12"/>
        <color indexed="8"/>
        <rFont val="Times New Roman"/>
        <family val="1"/>
        <charset val="204"/>
      </rPr>
      <t>=</t>
    </r>
  </si>
  <si>
    <r>
      <t>F</t>
    </r>
    <r>
      <rPr>
        <vertAlign val="subscript"/>
        <sz val="12"/>
        <color indexed="8"/>
        <rFont val="Times New Roman"/>
        <family val="1"/>
        <charset val="204"/>
      </rPr>
      <t>11</t>
    </r>
    <r>
      <rPr>
        <sz val="12"/>
        <color indexed="8"/>
        <rFont val="Times New Roman"/>
        <family val="1"/>
        <charset val="204"/>
      </rPr>
      <t>=m</t>
    </r>
    <r>
      <rPr>
        <vertAlign val="subscript"/>
        <sz val="12"/>
        <color indexed="8"/>
        <rFont val="Times New Roman"/>
        <family val="1"/>
        <charset val="204"/>
      </rPr>
      <t>11</t>
    </r>
    <r>
      <rPr>
        <sz val="12"/>
        <color indexed="8"/>
        <rFont val="Times New Roman"/>
        <family val="1"/>
        <charset val="204"/>
      </rPr>
      <t>(V</t>
    </r>
    <r>
      <rPr>
        <vertAlign val="subscript"/>
        <sz val="12"/>
        <color indexed="8"/>
        <rFont val="Times New Roman"/>
        <family val="1"/>
        <charset val="204"/>
      </rPr>
      <t>46</t>
    </r>
    <r>
      <rPr>
        <sz val="12"/>
        <color indexed="8"/>
        <rFont val="Times New Roman"/>
        <family val="1"/>
        <charset val="204"/>
      </rPr>
      <t>K</t>
    </r>
    <r>
      <rPr>
        <vertAlign val="subscript"/>
        <sz val="12"/>
        <color indexed="8"/>
        <rFont val="Times New Roman"/>
        <family val="1"/>
        <charset val="204"/>
      </rPr>
      <t>46</t>
    </r>
    <r>
      <rPr>
        <sz val="12"/>
        <color indexed="8"/>
        <rFont val="Times New Roman"/>
        <family val="1"/>
        <charset val="204"/>
      </rPr>
      <t>+ +V</t>
    </r>
    <r>
      <rPr>
        <vertAlign val="subscript"/>
        <sz val="12"/>
        <color indexed="8"/>
        <rFont val="Times New Roman"/>
        <family val="1"/>
        <charset val="204"/>
      </rPr>
      <t>47</t>
    </r>
    <r>
      <rPr>
        <sz val="12"/>
        <color indexed="8"/>
        <rFont val="Times New Roman"/>
        <family val="1"/>
        <charset val="204"/>
      </rPr>
      <t>K</t>
    </r>
    <r>
      <rPr>
        <vertAlign val="subscript"/>
        <sz val="12"/>
        <color indexed="8"/>
        <rFont val="Times New Roman"/>
        <family val="1"/>
        <charset val="204"/>
      </rPr>
      <t>47</t>
    </r>
    <r>
      <rPr>
        <sz val="12"/>
        <color indexed="8"/>
        <rFont val="Times New Roman"/>
        <family val="1"/>
        <charset val="204"/>
      </rPr>
      <t>+V</t>
    </r>
    <r>
      <rPr>
        <vertAlign val="subscript"/>
        <sz val="12"/>
        <color indexed="8"/>
        <rFont val="Times New Roman"/>
        <family val="1"/>
        <charset val="204"/>
      </rPr>
      <t>48</t>
    </r>
    <r>
      <rPr>
        <sz val="12"/>
        <color indexed="8"/>
        <rFont val="Times New Roman"/>
        <family val="1"/>
        <charset val="204"/>
      </rPr>
      <t>K</t>
    </r>
    <r>
      <rPr>
        <vertAlign val="subscript"/>
        <sz val="12"/>
        <color indexed="8"/>
        <rFont val="Times New Roman"/>
        <family val="1"/>
        <charset val="204"/>
      </rPr>
      <t>48</t>
    </r>
    <r>
      <rPr>
        <sz val="12"/>
        <color indexed="8"/>
        <rFont val="Times New Roman"/>
        <family val="1"/>
        <charset val="204"/>
      </rPr>
      <t>+ +V</t>
    </r>
    <r>
      <rPr>
        <vertAlign val="subscript"/>
        <sz val="12"/>
        <color indexed="8"/>
        <rFont val="Times New Roman"/>
        <family val="1"/>
        <charset val="204"/>
      </rPr>
      <t>49</t>
    </r>
    <r>
      <rPr>
        <sz val="12"/>
        <color indexed="8"/>
        <rFont val="Times New Roman"/>
        <family val="1"/>
        <charset val="204"/>
      </rPr>
      <t>K</t>
    </r>
    <r>
      <rPr>
        <vertAlign val="subscript"/>
        <sz val="12"/>
        <color indexed="8"/>
        <rFont val="Times New Roman"/>
        <family val="1"/>
        <charset val="204"/>
      </rPr>
      <t>49</t>
    </r>
    <r>
      <rPr>
        <sz val="12"/>
        <color indexed="8"/>
        <rFont val="Times New Roman"/>
        <family val="1"/>
        <charset val="204"/>
      </rPr>
      <t>)</t>
    </r>
  </si>
  <si>
    <r>
      <t>V</t>
    </r>
    <r>
      <rPr>
        <b/>
        <vertAlign val="subscript"/>
        <sz val="12"/>
        <color indexed="8"/>
        <rFont val="Times New Roman"/>
        <family val="1"/>
        <charset val="204"/>
      </rPr>
      <t>47</t>
    </r>
    <r>
      <rPr>
        <b/>
        <sz val="12"/>
        <color indexed="8"/>
        <rFont val="Times New Roman"/>
        <family val="1"/>
        <charset val="204"/>
      </rPr>
      <t>=</t>
    </r>
  </si>
  <si>
    <r>
      <t>m</t>
    </r>
    <r>
      <rPr>
        <b/>
        <vertAlign val="subscript"/>
        <sz val="12"/>
        <color indexed="8"/>
        <rFont val="Times New Roman"/>
        <family val="1"/>
        <charset val="204"/>
      </rPr>
      <t>11</t>
    </r>
    <r>
      <rPr>
        <b/>
        <sz val="12"/>
        <color indexed="8"/>
        <rFont val="Times New Roman"/>
        <family val="1"/>
        <charset val="204"/>
      </rPr>
      <t>=</t>
    </r>
  </si>
  <si>
    <r>
      <t>V</t>
    </r>
    <r>
      <rPr>
        <b/>
        <vertAlign val="subscript"/>
        <sz val="12"/>
        <color indexed="8"/>
        <rFont val="Times New Roman"/>
        <family val="1"/>
        <charset val="204"/>
      </rPr>
      <t>48</t>
    </r>
    <r>
      <rPr>
        <b/>
        <sz val="12"/>
        <color indexed="8"/>
        <rFont val="Times New Roman"/>
        <family val="1"/>
        <charset val="204"/>
      </rPr>
      <t>=</t>
    </r>
  </si>
  <si>
    <r>
      <t>F</t>
    </r>
    <r>
      <rPr>
        <b/>
        <vertAlign val="subscript"/>
        <sz val="12"/>
        <color indexed="8"/>
        <rFont val="Times New Roman"/>
        <family val="1"/>
        <charset val="204"/>
      </rPr>
      <t>11</t>
    </r>
    <r>
      <rPr>
        <b/>
        <sz val="12"/>
        <color indexed="8"/>
        <rFont val="Times New Roman"/>
        <family val="1"/>
        <charset val="204"/>
      </rPr>
      <t>=</t>
    </r>
  </si>
  <si>
    <r>
      <t>V</t>
    </r>
    <r>
      <rPr>
        <b/>
        <vertAlign val="subscript"/>
        <sz val="12"/>
        <color indexed="8"/>
        <rFont val="Times New Roman"/>
        <family val="1"/>
        <charset val="204"/>
      </rPr>
      <t>49</t>
    </r>
    <r>
      <rPr>
        <b/>
        <sz val="12"/>
        <color indexed="8"/>
        <rFont val="Times New Roman"/>
        <family val="1"/>
        <charset val="204"/>
      </rPr>
      <t>=</t>
    </r>
  </si>
  <si>
    <r>
      <t>F</t>
    </r>
    <r>
      <rPr>
        <vertAlign val="subscript"/>
        <sz val="12"/>
        <color indexed="8"/>
        <rFont val="Times New Roman"/>
        <family val="1"/>
        <charset val="204"/>
      </rPr>
      <t>2</t>
    </r>
    <r>
      <rPr>
        <sz val="12"/>
        <color indexed="8"/>
        <rFont val="Times New Roman"/>
        <family val="1"/>
        <charset val="204"/>
      </rPr>
      <t>=m</t>
    </r>
    <r>
      <rPr>
        <vertAlign val="subscript"/>
        <sz val="12"/>
        <color indexed="8"/>
        <rFont val="Times New Roman"/>
        <family val="1"/>
        <charset val="204"/>
      </rPr>
      <t>2</t>
    </r>
    <r>
      <rPr>
        <sz val="12"/>
        <color indexed="8"/>
        <rFont val="Times New Roman"/>
        <family val="1"/>
        <charset val="204"/>
      </rPr>
      <t>(V</t>
    </r>
    <r>
      <rPr>
        <vertAlign val="subscript"/>
        <sz val="12"/>
        <color indexed="8"/>
        <rFont val="Times New Roman"/>
        <family val="1"/>
        <charset val="204"/>
      </rPr>
      <t>4</t>
    </r>
    <r>
      <rPr>
        <sz val="12"/>
        <color indexed="8"/>
        <rFont val="Times New Roman"/>
        <family val="1"/>
        <charset val="204"/>
      </rPr>
      <t>K</t>
    </r>
    <r>
      <rPr>
        <vertAlign val="subscript"/>
        <sz val="12"/>
        <color indexed="8"/>
        <rFont val="Times New Roman"/>
        <family val="1"/>
        <charset val="204"/>
      </rPr>
      <t>4</t>
    </r>
    <r>
      <rPr>
        <sz val="12"/>
        <color indexed="8"/>
        <rFont val="Times New Roman"/>
        <family val="1"/>
        <charset val="204"/>
      </rPr>
      <t>+ +V</t>
    </r>
    <r>
      <rPr>
        <vertAlign val="subscript"/>
        <sz val="12"/>
        <color indexed="8"/>
        <rFont val="Times New Roman"/>
        <family val="1"/>
        <charset val="204"/>
      </rPr>
      <t>5</t>
    </r>
    <r>
      <rPr>
        <sz val="12"/>
        <color indexed="8"/>
        <rFont val="Times New Roman"/>
        <family val="1"/>
        <charset val="204"/>
      </rPr>
      <t>K</t>
    </r>
    <r>
      <rPr>
        <vertAlign val="subscript"/>
        <sz val="12"/>
        <color indexed="8"/>
        <rFont val="Times New Roman"/>
        <family val="1"/>
        <charset val="204"/>
      </rPr>
      <t>5</t>
    </r>
    <r>
      <rPr>
        <sz val="12"/>
        <color indexed="8"/>
        <rFont val="Times New Roman"/>
        <family val="1"/>
        <charset val="204"/>
      </rPr>
      <t>+V</t>
    </r>
    <r>
      <rPr>
        <vertAlign val="subscript"/>
        <sz val="12"/>
        <color indexed="8"/>
        <rFont val="Times New Roman"/>
        <family val="1"/>
        <charset val="204"/>
      </rPr>
      <t>6</t>
    </r>
    <r>
      <rPr>
        <sz val="12"/>
        <color indexed="8"/>
        <rFont val="Times New Roman"/>
        <family val="1"/>
        <charset val="204"/>
      </rPr>
      <t>K</t>
    </r>
    <r>
      <rPr>
        <vertAlign val="subscript"/>
        <sz val="12"/>
        <color indexed="8"/>
        <rFont val="Times New Roman"/>
        <family val="1"/>
        <charset val="204"/>
      </rPr>
      <t>6</t>
    </r>
    <r>
      <rPr>
        <sz val="12"/>
        <color indexed="8"/>
        <rFont val="Times New Roman"/>
        <family val="1"/>
        <charset val="204"/>
      </rPr>
      <t>+ +V</t>
    </r>
    <r>
      <rPr>
        <vertAlign val="subscript"/>
        <sz val="12"/>
        <color indexed="8"/>
        <rFont val="Times New Roman"/>
        <family val="1"/>
        <charset val="204"/>
      </rPr>
      <t>7</t>
    </r>
    <r>
      <rPr>
        <sz val="12"/>
        <color indexed="8"/>
        <rFont val="Times New Roman"/>
        <family val="1"/>
        <charset val="204"/>
      </rPr>
      <t>K</t>
    </r>
    <r>
      <rPr>
        <vertAlign val="subscript"/>
        <sz val="12"/>
        <color indexed="8"/>
        <rFont val="Times New Roman"/>
        <family val="1"/>
        <charset val="204"/>
      </rPr>
      <t>7</t>
    </r>
    <r>
      <rPr>
        <sz val="12"/>
        <color indexed="8"/>
        <rFont val="Times New Roman"/>
        <family val="1"/>
        <charset val="204"/>
      </rPr>
      <t>+V</t>
    </r>
    <r>
      <rPr>
        <vertAlign val="subscript"/>
        <sz val="12"/>
        <color indexed="8"/>
        <rFont val="Times New Roman"/>
        <family val="1"/>
        <charset val="204"/>
      </rPr>
      <t>8</t>
    </r>
    <r>
      <rPr>
        <sz val="12"/>
        <color indexed="8"/>
        <rFont val="Times New Roman"/>
        <family val="1"/>
        <charset val="204"/>
      </rPr>
      <t>K</t>
    </r>
    <r>
      <rPr>
        <vertAlign val="subscript"/>
        <sz val="12"/>
        <color indexed="8"/>
        <rFont val="Times New Roman"/>
        <family val="1"/>
        <charset val="204"/>
      </rPr>
      <t>8</t>
    </r>
    <r>
      <rPr>
        <sz val="12"/>
        <color indexed="8"/>
        <rFont val="Times New Roman"/>
        <family val="1"/>
        <charset val="204"/>
      </rPr>
      <t>+ +V</t>
    </r>
    <r>
      <rPr>
        <vertAlign val="subscript"/>
        <sz val="12"/>
        <color indexed="8"/>
        <rFont val="Times New Roman"/>
        <family val="1"/>
        <charset val="204"/>
      </rPr>
      <t>9</t>
    </r>
    <r>
      <rPr>
        <sz val="12"/>
        <color indexed="8"/>
        <rFont val="Times New Roman"/>
        <family val="1"/>
        <charset val="204"/>
      </rPr>
      <t>K</t>
    </r>
    <r>
      <rPr>
        <vertAlign val="subscript"/>
        <sz val="12"/>
        <color indexed="8"/>
        <rFont val="Times New Roman"/>
        <family val="1"/>
        <charset val="204"/>
      </rPr>
      <t>9</t>
    </r>
    <r>
      <rPr>
        <sz val="12"/>
        <color indexed="8"/>
        <rFont val="Times New Roman"/>
        <family val="1"/>
        <charset val="204"/>
      </rPr>
      <t>+V</t>
    </r>
    <r>
      <rPr>
        <vertAlign val="subscript"/>
        <sz val="12"/>
        <color indexed="8"/>
        <rFont val="Times New Roman"/>
        <family val="1"/>
        <charset val="204"/>
      </rPr>
      <t>10</t>
    </r>
    <r>
      <rPr>
        <sz val="12"/>
        <color indexed="8"/>
        <rFont val="Times New Roman"/>
        <family val="1"/>
        <charset val="204"/>
      </rPr>
      <t>K</t>
    </r>
    <r>
      <rPr>
        <vertAlign val="subscript"/>
        <sz val="12"/>
        <color indexed="8"/>
        <rFont val="Times New Roman"/>
        <family val="1"/>
        <charset val="204"/>
      </rPr>
      <t>10</t>
    </r>
    <r>
      <rPr>
        <sz val="12"/>
        <color indexed="8"/>
        <rFont val="Times New Roman"/>
        <family val="1"/>
        <charset val="204"/>
      </rPr>
      <t>+ +V</t>
    </r>
    <r>
      <rPr>
        <vertAlign val="subscript"/>
        <sz val="12"/>
        <color indexed="8"/>
        <rFont val="Times New Roman"/>
        <family val="1"/>
        <charset val="204"/>
      </rPr>
      <t>11</t>
    </r>
    <r>
      <rPr>
        <sz val="12"/>
        <color indexed="8"/>
        <rFont val="Times New Roman"/>
        <family val="1"/>
        <charset val="204"/>
      </rPr>
      <t>K</t>
    </r>
    <r>
      <rPr>
        <vertAlign val="subscript"/>
        <sz val="12"/>
        <color indexed="8"/>
        <rFont val="Times New Roman"/>
        <family val="1"/>
        <charset val="204"/>
      </rPr>
      <t>11</t>
    </r>
    <r>
      <rPr>
        <sz val="12"/>
        <color indexed="8"/>
        <rFont val="Times New Roman"/>
        <family val="1"/>
        <charset val="204"/>
      </rPr>
      <t>+V</t>
    </r>
    <r>
      <rPr>
        <vertAlign val="subscript"/>
        <sz val="12"/>
        <color indexed="8"/>
        <rFont val="Times New Roman"/>
        <family val="1"/>
        <charset val="204"/>
      </rPr>
      <t>12</t>
    </r>
    <r>
      <rPr>
        <sz val="12"/>
        <color indexed="8"/>
        <rFont val="Times New Roman"/>
        <family val="1"/>
        <charset val="204"/>
      </rPr>
      <t>K</t>
    </r>
    <r>
      <rPr>
        <vertAlign val="subscript"/>
        <sz val="12"/>
        <color indexed="8"/>
        <rFont val="Times New Roman"/>
        <family val="1"/>
        <charset val="204"/>
      </rPr>
      <t>12</t>
    </r>
    <r>
      <rPr>
        <sz val="12"/>
        <color indexed="8"/>
        <rFont val="Times New Roman"/>
        <family val="1"/>
        <charset val="204"/>
      </rPr>
      <t>+ +V</t>
    </r>
    <r>
      <rPr>
        <vertAlign val="subscript"/>
        <sz val="12"/>
        <color indexed="8"/>
        <rFont val="Times New Roman"/>
        <family val="1"/>
        <charset val="204"/>
      </rPr>
      <t>13</t>
    </r>
    <r>
      <rPr>
        <sz val="12"/>
        <color indexed="8"/>
        <rFont val="Times New Roman"/>
        <family val="1"/>
        <charset val="204"/>
      </rPr>
      <t>K</t>
    </r>
    <r>
      <rPr>
        <vertAlign val="subscript"/>
        <sz val="12"/>
        <color indexed="8"/>
        <rFont val="Times New Roman"/>
        <family val="1"/>
        <charset val="204"/>
      </rPr>
      <t>13</t>
    </r>
    <r>
      <rPr>
        <sz val="12"/>
        <color indexed="8"/>
        <rFont val="Times New Roman"/>
        <family val="1"/>
        <charset val="204"/>
      </rPr>
      <t>)</t>
    </r>
  </si>
  <si>
    <r>
      <t xml:space="preserve"> F</t>
    </r>
    <r>
      <rPr>
        <vertAlign val="subscript"/>
        <sz val="12"/>
        <color indexed="8"/>
        <rFont val="Times New Roman"/>
        <family val="1"/>
        <charset val="204"/>
      </rPr>
      <t>4</t>
    </r>
    <r>
      <rPr>
        <sz val="12"/>
        <color indexed="8"/>
        <rFont val="Times New Roman"/>
        <family val="1"/>
        <charset val="204"/>
      </rPr>
      <t>=m</t>
    </r>
    <r>
      <rPr>
        <vertAlign val="subscript"/>
        <sz val="12"/>
        <color indexed="8"/>
        <rFont val="Times New Roman"/>
        <family val="1"/>
        <charset val="204"/>
      </rPr>
      <t>4</t>
    </r>
    <r>
      <rPr>
        <sz val="12"/>
        <color indexed="8"/>
        <rFont val="Times New Roman"/>
        <family val="1"/>
        <charset val="204"/>
      </rPr>
      <t>(V</t>
    </r>
    <r>
      <rPr>
        <vertAlign val="subscript"/>
        <sz val="12"/>
        <color indexed="8"/>
        <rFont val="Times New Roman"/>
        <family val="1"/>
        <charset val="204"/>
      </rPr>
      <t>18</t>
    </r>
    <r>
      <rPr>
        <sz val="12"/>
        <color indexed="8"/>
        <rFont val="Times New Roman"/>
        <family val="1"/>
        <charset val="204"/>
      </rPr>
      <t>K</t>
    </r>
    <r>
      <rPr>
        <vertAlign val="subscript"/>
        <sz val="12"/>
        <color indexed="8"/>
        <rFont val="Times New Roman"/>
        <family val="1"/>
        <charset val="204"/>
      </rPr>
      <t>18</t>
    </r>
    <r>
      <rPr>
        <sz val="12"/>
        <color indexed="8"/>
        <rFont val="Times New Roman"/>
        <family val="1"/>
        <charset val="204"/>
      </rPr>
      <t>+ +V</t>
    </r>
    <r>
      <rPr>
        <vertAlign val="subscript"/>
        <sz val="12"/>
        <color indexed="8"/>
        <rFont val="Times New Roman"/>
        <family val="1"/>
        <charset val="204"/>
      </rPr>
      <t>19</t>
    </r>
    <r>
      <rPr>
        <sz val="12"/>
        <color indexed="8"/>
        <rFont val="Times New Roman"/>
        <family val="1"/>
        <charset val="204"/>
      </rPr>
      <t>K</t>
    </r>
    <r>
      <rPr>
        <vertAlign val="subscript"/>
        <sz val="12"/>
        <color indexed="8"/>
        <rFont val="Times New Roman"/>
        <family val="1"/>
        <charset val="204"/>
      </rPr>
      <t>19</t>
    </r>
    <r>
      <rPr>
        <sz val="12"/>
        <color indexed="8"/>
        <rFont val="Times New Roman"/>
        <family val="1"/>
        <charset val="204"/>
      </rPr>
      <t>+V</t>
    </r>
    <r>
      <rPr>
        <vertAlign val="subscript"/>
        <sz val="12"/>
        <color indexed="8"/>
        <rFont val="Times New Roman"/>
        <family val="1"/>
        <charset val="204"/>
      </rPr>
      <t>20</t>
    </r>
    <r>
      <rPr>
        <sz val="12"/>
        <color indexed="8"/>
        <rFont val="Times New Roman"/>
        <family val="1"/>
        <charset val="204"/>
      </rPr>
      <t>K</t>
    </r>
    <r>
      <rPr>
        <vertAlign val="subscript"/>
        <sz val="12"/>
        <color indexed="8"/>
        <rFont val="Times New Roman"/>
        <family val="1"/>
        <charset val="204"/>
      </rPr>
      <t>20</t>
    </r>
    <r>
      <rPr>
        <sz val="12"/>
        <color indexed="8"/>
        <rFont val="Times New Roman"/>
        <family val="1"/>
        <charset val="204"/>
      </rPr>
      <t>)</t>
    </r>
  </si>
  <si>
    <r>
      <t>F</t>
    </r>
    <r>
      <rPr>
        <vertAlign val="subscript"/>
        <sz val="12"/>
        <color indexed="8"/>
        <rFont val="Times New Roman"/>
        <family val="1"/>
        <charset val="204"/>
      </rPr>
      <t>7</t>
    </r>
    <r>
      <rPr>
        <sz val="12"/>
        <color indexed="8"/>
        <rFont val="Times New Roman"/>
        <family val="1"/>
        <charset val="204"/>
      </rPr>
      <t>=m</t>
    </r>
    <r>
      <rPr>
        <vertAlign val="subscript"/>
        <sz val="12"/>
        <color indexed="8"/>
        <rFont val="Times New Roman"/>
        <family val="1"/>
        <charset val="204"/>
      </rPr>
      <t>7</t>
    </r>
    <r>
      <rPr>
        <sz val="12"/>
        <color indexed="8"/>
        <rFont val="Times New Roman"/>
        <family val="1"/>
        <charset val="204"/>
      </rPr>
      <t>(V</t>
    </r>
    <r>
      <rPr>
        <vertAlign val="subscript"/>
        <sz val="12"/>
        <color indexed="8"/>
        <rFont val="Times New Roman"/>
        <family val="1"/>
        <charset val="204"/>
      </rPr>
      <t>26</t>
    </r>
    <r>
      <rPr>
        <sz val="12"/>
        <color indexed="8"/>
        <rFont val="Times New Roman"/>
        <family val="1"/>
        <charset val="204"/>
      </rPr>
      <t>K</t>
    </r>
    <r>
      <rPr>
        <vertAlign val="subscript"/>
        <sz val="12"/>
        <color indexed="8"/>
        <rFont val="Times New Roman"/>
        <family val="1"/>
        <charset val="204"/>
      </rPr>
      <t>26</t>
    </r>
    <r>
      <rPr>
        <sz val="12"/>
        <color indexed="8"/>
        <rFont val="Times New Roman"/>
        <family val="1"/>
        <charset val="204"/>
      </rPr>
      <t>+ +V</t>
    </r>
    <r>
      <rPr>
        <vertAlign val="subscript"/>
        <sz val="12"/>
        <color indexed="8"/>
        <rFont val="Times New Roman"/>
        <family val="1"/>
        <charset val="204"/>
      </rPr>
      <t>27</t>
    </r>
    <r>
      <rPr>
        <sz val="12"/>
        <color indexed="8"/>
        <rFont val="Times New Roman"/>
        <family val="1"/>
        <charset val="204"/>
      </rPr>
      <t>K</t>
    </r>
    <r>
      <rPr>
        <vertAlign val="subscript"/>
        <sz val="12"/>
        <color indexed="8"/>
        <rFont val="Times New Roman"/>
        <family val="1"/>
        <charset val="204"/>
      </rPr>
      <t>27</t>
    </r>
    <r>
      <rPr>
        <sz val="12"/>
        <color indexed="8"/>
        <rFont val="Times New Roman"/>
        <family val="1"/>
        <charset val="204"/>
      </rPr>
      <t>+V</t>
    </r>
    <r>
      <rPr>
        <vertAlign val="subscript"/>
        <sz val="12"/>
        <color indexed="8"/>
        <rFont val="Times New Roman"/>
        <family val="1"/>
        <charset val="204"/>
      </rPr>
      <t>28</t>
    </r>
    <r>
      <rPr>
        <sz val="12"/>
        <color indexed="8"/>
        <rFont val="Times New Roman"/>
        <family val="1"/>
        <charset val="204"/>
      </rPr>
      <t>K</t>
    </r>
    <r>
      <rPr>
        <vertAlign val="subscript"/>
        <sz val="12"/>
        <color indexed="8"/>
        <rFont val="Times New Roman"/>
        <family val="1"/>
        <charset val="204"/>
      </rPr>
      <t>28</t>
    </r>
    <r>
      <rPr>
        <sz val="12"/>
        <color indexed="8"/>
        <rFont val="Times New Roman"/>
        <family val="1"/>
        <charset val="204"/>
      </rPr>
      <t>)</t>
    </r>
  </si>
  <si>
    <r>
      <t>F</t>
    </r>
    <r>
      <rPr>
        <vertAlign val="subscript"/>
        <sz val="12"/>
        <color indexed="8"/>
        <rFont val="Times New Roman"/>
        <family val="1"/>
        <charset val="204"/>
      </rPr>
      <t>7</t>
    </r>
    <r>
      <rPr>
        <sz val="12"/>
        <color indexed="8"/>
        <rFont val="Times New Roman"/>
        <family val="1"/>
        <charset val="204"/>
      </rPr>
      <t>=</t>
    </r>
  </si>
  <si>
    <r>
      <t>F</t>
    </r>
    <r>
      <rPr>
        <vertAlign val="subscript"/>
        <sz val="12"/>
        <color indexed="8"/>
        <rFont val="Times New Roman"/>
        <family val="1"/>
        <charset val="204"/>
      </rPr>
      <t>8</t>
    </r>
    <r>
      <rPr>
        <sz val="12"/>
        <color indexed="8"/>
        <rFont val="Times New Roman"/>
        <family val="1"/>
        <charset val="204"/>
      </rPr>
      <t>=m</t>
    </r>
    <r>
      <rPr>
        <vertAlign val="subscript"/>
        <sz val="12"/>
        <color indexed="8"/>
        <rFont val="Times New Roman"/>
        <family val="1"/>
        <charset val="204"/>
      </rPr>
      <t>8</t>
    </r>
    <r>
      <rPr>
        <sz val="12"/>
        <color indexed="8"/>
        <rFont val="Times New Roman"/>
        <family val="1"/>
        <charset val="204"/>
      </rPr>
      <t>(V</t>
    </r>
    <r>
      <rPr>
        <vertAlign val="subscript"/>
        <sz val="12"/>
        <color indexed="8"/>
        <rFont val="Times New Roman"/>
        <family val="1"/>
        <charset val="204"/>
      </rPr>
      <t>29</t>
    </r>
    <r>
      <rPr>
        <sz val="12"/>
        <color indexed="8"/>
        <rFont val="Times New Roman"/>
        <family val="1"/>
        <charset val="204"/>
      </rPr>
      <t>K</t>
    </r>
    <r>
      <rPr>
        <vertAlign val="subscript"/>
        <sz val="12"/>
        <color indexed="8"/>
        <rFont val="Times New Roman"/>
        <family val="1"/>
        <charset val="204"/>
      </rPr>
      <t>29</t>
    </r>
    <r>
      <rPr>
        <sz val="12"/>
        <color indexed="8"/>
        <rFont val="Times New Roman"/>
        <family val="1"/>
        <charset val="204"/>
      </rPr>
      <t>+ +V</t>
    </r>
    <r>
      <rPr>
        <vertAlign val="subscript"/>
        <sz val="12"/>
        <color indexed="8"/>
        <rFont val="Times New Roman"/>
        <family val="1"/>
        <charset val="204"/>
      </rPr>
      <t>30</t>
    </r>
    <r>
      <rPr>
        <sz val="12"/>
        <color indexed="8"/>
        <rFont val="Times New Roman"/>
        <family val="1"/>
        <charset val="204"/>
      </rPr>
      <t>K</t>
    </r>
    <r>
      <rPr>
        <vertAlign val="subscript"/>
        <sz val="12"/>
        <color indexed="8"/>
        <rFont val="Times New Roman"/>
        <family val="1"/>
        <charset val="204"/>
      </rPr>
      <t>30</t>
    </r>
    <r>
      <rPr>
        <sz val="12"/>
        <color indexed="8"/>
        <rFont val="Times New Roman"/>
        <family val="1"/>
        <charset val="204"/>
      </rPr>
      <t>+V</t>
    </r>
    <r>
      <rPr>
        <vertAlign val="subscript"/>
        <sz val="12"/>
        <color indexed="8"/>
        <rFont val="Times New Roman"/>
        <family val="1"/>
        <charset val="204"/>
      </rPr>
      <t>31</t>
    </r>
    <r>
      <rPr>
        <sz val="12"/>
        <color indexed="8"/>
        <rFont val="Times New Roman"/>
        <family val="1"/>
        <charset val="204"/>
      </rPr>
      <t>K</t>
    </r>
    <r>
      <rPr>
        <vertAlign val="subscript"/>
        <sz val="12"/>
        <color indexed="8"/>
        <rFont val="Times New Roman"/>
        <family val="1"/>
        <charset val="204"/>
      </rPr>
      <t>31</t>
    </r>
    <r>
      <rPr>
        <sz val="12"/>
        <color indexed="8"/>
        <rFont val="Times New Roman"/>
        <family val="1"/>
        <charset val="204"/>
      </rPr>
      <t>+ +V</t>
    </r>
    <r>
      <rPr>
        <vertAlign val="subscript"/>
        <sz val="12"/>
        <color indexed="8"/>
        <rFont val="Times New Roman"/>
        <family val="1"/>
        <charset val="204"/>
      </rPr>
      <t>32</t>
    </r>
    <r>
      <rPr>
        <sz val="12"/>
        <color indexed="8"/>
        <rFont val="Times New Roman"/>
        <family val="1"/>
        <charset val="204"/>
      </rPr>
      <t>K</t>
    </r>
    <r>
      <rPr>
        <vertAlign val="subscript"/>
        <sz val="12"/>
        <color indexed="8"/>
        <rFont val="Times New Roman"/>
        <family val="1"/>
        <charset val="204"/>
      </rPr>
      <t>32</t>
    </r>
    <r>
      <rPr>
        <sz val="12"/>
        <color indexed="8"/>
        <rFont val="Times New Roman"/>
        <family val="1"/>
        <charset val="204"/>
      </rPr>
      <t>+V</t>
    </r>
    <r>
      <rPr>
        <vertAlign val="subscript"/>
        <sz val="12"/>
        <color indexed="8"/>
        <rFont val="Times New Roman"/>
        <family val="1"/>
        <charset val="204"/>
      </rPr>
      <t>33</t>
    </r>
    <r>
      <rPr>
        <sz val="12"/>
        <color indexed="8"/>
        <rFont val="Times New Roman"/>
        <family val="1"/>
        <charset val="204"/>
      </rPr>
      <t>K</t>
    </r>
    <r>
      <rPr>
        <vertAlign val="subscript"/>
        <sz val="12"/>
        <color indexed="8"/>
        <rFont val="Times New Roman"/>
        <family val="1"/>
        <charset val="204"/>
      </rPr>
      <t>33</t>
    </r>
    <r>
      <rPr>
        <sz val="12"/>
        <color indexed="8"/>
        <rFont val="Times New Roman"/>
        <family val="1"/>
        <charset val="204"/>
      </rPr>
      <t>+ +V</t>
    </r>
    <r>
      <rPr>
        <vertAlign val="subscript"/>
        <sz val="12"/>
        <color indexed="8"/>
        <rFont val="Times New Roman"/>
        <family val="1"/>
        <charset val="204"/>
      </rPr>
      <t>34</t>
    </r>
    <r>
      <rPr>
        <sz val="12"/>
        <color indexed="8"/>
        <rFont val="Times New Roman"/>
        <family val="1"/>
        <charset val="204"/>
      </rPr>
      <t>K</t>
    </r>
    <r>
      <rPr>
        <vertAlign val="subscript"/>
        <sz val="12"/>
        <color indexed="8"/>
        <rFont val="Times New Roman"/>
        <family val="1"/>
        <charset val="204"/>
      </rPr>
      <t>34</t>
    </r>
    <r>
      <rPr>
        <sz val="12"/>
        <color indexed="8"/>
        <rFont val="Times New Roman"/>
        <family val="1"/>
        <charset val="204"/>
      </rPr>
      <t>)</t>
    </r>
  </si>
  <si>
    <r>
      <t>F</t>
    </r>
    <r>
      <rPr>
        <vertAlign val="subscript"/>
        <sz val="12"/>
        <color indexed="8"/>
        <rFont val="Times New Roman"/>
        <family val="1"/>
        <charset val="204"/>
      </rPr>
      <t>9</t>
    </r>
    <r>
      <rPr>
        <sz val="12"/>
        <color indexed="8"/>
        <rFont val="Times New Roman"/>
        <family val="1"/>
        <charset val="204"/>
      </rPr>
      <t>=m</t>
    </r>
    <r>
      <rPr>
        <vertAlign val="subscript"/>
        <sz val="12"/>
        <color indexed="8"/>
        <rFont val="Times New Roman"/>
        <family val="1"/>
        <charset val="204"/>
      </rPr>
      <t>9</t>
    </r>
    <r>
      <rPr>
        <sz val="12"/>
        <color indexed="8"/>
        <rFont val="Times New Roman"/>
        <family val="1"/>
        <charset val="204"/>
      </rPr>
      <t>(V</t>
    </r>
    <r>
      <rPr>
        <vertAlign val="subscript"/>
        <sz val="12"/>
        <color indexed="8"/>
        <rFont val="Times New Roman"/>
        <family val="1"/>
        <charset val="204"/>
      </rPr>
      <t>35</t>
    </r>
    <r>
      <rPr>
        <sz val="12"/>
        <color indexed="8"/>
        <rFont val="Times New Roman"/>
        <family val="1"/>
        <charset val="204"/>
      </rPr>
      <t>K</t>
    </r>
    <r>
      <rPr>
        <vertAlign val="subscript"/>
        <sz val="12"/>
        <color indexed="8"/>
        <rFont val="Times New Roman"/>
        <family val="1"/>
        <charset val="204"/>
      </rPr>
      <t>35</t>
    </r>
    <r>
      <rPr>
        <sz val="12"/>
        <color indexed="8"/>
        <rFont val="Times New Roman"/>
        <family val="1"/>
        <charset val="204"/>
      </rPr>
      <t>+ +V</t>
    </r>
    <r>
      <rPr>
        <vertAlign val="subscript"/>
        <sz val="12"/>
        <color indexed="8"/>
        <rFont val="Times New Roman"/>
        <family val="1"/>
        <charset val="204"/>
      </rPr>
      <t>36</t>
    </r>
    <r>
      <rPr>
        <sz val="12"/>
        <color indexed="8"/>
        <rFont val="Times New Roman"/>
        <family val="1"/>
        <charset val="204"/>
      </rPr>
      <t>K</t>
    </r>
    <r>
      <rPr>
        <vertAlign val="subscript"/>
        <sz val="12"/>
        <color indexed="8"/>
        <rFont val="Times New Roman"/>
        <family val="1"/>
        <charset val="204"/>
      </rPr>
      <t>36</t>
    </r>
    <r>
      <rPr>
        <sz val="12"/>
        <color indexed="8"/>
        <rFont val="Times New Roman"/>
        <family val="1"/>
        <charset val="204"/>
      </rPr>
      <t>+V</t>
    </r>
    <r>
      <rPr>
        <vertAlign val="subscript"/>
        <sz val="12"/>
        <color indexed="8"/>
        <rFont val="Times New Roman"/>
        <family val="1"/>
        <charset val="204"/>
      </rPr>
      <t>37</t>
    </r>
    <r>
      <rPr>
        <sz val="12"/>
        <color indexed="8"/>
        <rFont val="Times New Roman"/>
        <family val="1"/>
        <charset val="204"/>
      </rPr>
      <t>K</t>
    </r>
    <r>
      <rPr>
        <vertAlign val="subscript"/>
        <sz val="12"/>
        <color indexed="8"/>
        <rFont val="Times New Roman"/>
        <family val="1"/>
        <charset val="204"/>
      </rPr>
      <t>37</t>
    </r>
    <r>
      <rPr>
        <sz val="12"/>
        <color indexed="8"/>
        <rFont val="Times New Roman"/>
        <family val="1"/>
        <charset val="204"/>
      </rPr>
      <t>+ +V</t>
    </r>
    <r>
      <rPr>
        <vertAlign val="subscript"/>
        <sz val="12"/>
        <color indexed="8"/>
        <rFont val="Times New Roman"/>
        <family val="1"/>
        <charset val="204"/>
      </rPr>
      <t>38</t>
    </r>
    <r>
      <rPr>
        <sz val="12"/>
        <color indexed="8"/>
        <rFont val="Times New Roman"/>
        <family val="1"/>
        <charset val="204"/>
      </rPr>
      <t>K</t>
    </r>
    <r>
      <rPr>
        <vertAlign val="subscript"/>
        <sz val="12"/>
        <color indexed="8"/>
        <rFont val="Times New Roman"/>
        <family val="1"/>
        <charset val="204"/>
      </rPr>
      <t>38</t>
    </r>
    <r>
      <rPr>
        <sz val="12"/>
        <color indexed="8"/>
        <rFont val="Times New Roman"/>
        <family val="1"/>
        <charset val="204"/>
      </rPr>
      <t>+V</t>
    </r>
    <r>
      <rPr>
        <vertAlign val="subscript"/>
        <sz val="12"/>
        <color indexed="8"/>
        <rFont val="Times New Roman"/>
        <family val="1"/>
        <charset val="204"/>
      </rPr>
      <t>39</t>
    </r>
    <r>
      <rPr>
        <sz val="12"/>
        <color indexed="8"/>
        <rFont val="Times New Roman"/>
        <family val="1"/>
        <charset val="204"/>
      </rPr>
      <t>K</t>
    </r>
    <r>
      <rPr>
        <vertAlign val="subscript"/>
        <sz val="12"/>
        <color indexed="8"/>
        <rFont val="Times New Roman"/>
        <family val="1"/>
        <charset val="204"/>
      </rPr>
      <t>39</t>
    </r>
    <r>
      <rPr>
        <sz val="12"/>
        <color indexed="8"/>
        <rFont val="Times New Roman"/>
        <family val="1"/>
        <charset val="204"/>
      </rPr>
      <t>)</t>
    </r>
  </si>
  <si>
    <r>
      <t>F</t>
    </r>
    <r>
      <rPr>
        <vertAlign val="subscript"/>
        <sz val="12"/>
        <color indexed="8"/>
        <rFont val="Times New Roman"/>
        <family val="1"/>
        <charset val="204"/>
      </rPr>
      <t>10</t>
    </r>
    <r>
      <rPr>
        <sz val="12"/>
        <color indexed="8"/>
        <rFont val="Times New Roman"/>
        <family val="1"/>
        <charset val="204"/>
      </rPr>
      <t>=m</t>
    </r>
    <r>
      <rPr>
        <vertAlign val="subscript"/>
        <sz val="12"/>
        <color indexed="8"/>
        <rFont val="Times New Roman"/>
        <family val="1"/>
        <charset val="204"/>
      </rPr>
      <t>10</t>
    </r>
    <r>
      <rPr>
        <sz val="12"/>
        <color indexed="8"/>
        <rFont val="Times New Roman"/>
        <family val="1"/>
        <charset val="204"/>
      </rPr>
      <t>(V</t>
    </r>
    <r>
      <rPr>
        <vertAlign val="subscript"/>
        <sz val="12"/>
        <color indexed="8"/>
        <rFont val="Times New Roman"/>
        <family val="1"/>
        <charset val="204"/>
      </rPr>
      <t>40</t>
    </r>
    <r>
      <rPr>
        <sz val="12"/>
        <color indexed="8"/>
        <rFont val="Times New Roman"/>
        <family val="1"/>
        <charset val="204"/>
      </rPr>
      <t>K</t>
    </r>
    <r>
      <rPr>
        <vertAlign val="subscript"/>
        <sz val="12"/>
        <color indexed="8"/>
        <rFont val="Times New Roman"/>
        <family val="1"/>
        <charset val="204"/>
      </rPr>
      <t>40</t>
    </r>
    <r>
      <rPr>
        <sz val="12"/>
        <color indexed="8"/>
        <rFont val="Times New Roman"/>
        <family val="1"/>
        <charset val="204"/>
      </rPr>
      <t>+ +V</t>
    </r>
    <r>
      <rPr>
        <vertAlign val="subscript"/>
        <sz val="12"/>
        <color indexed="8"/>
        <rFont val="Times New Roman"/>
        <family val="1"/>
        <charset val="204"/>
      </rPr>
      <t>41</t>
    </r>
    <r>
      <rPr>
        <sz val="12"/>
        <color indexed="8"/>
        <rFont val="Times New Roman"/>
        <family val="1"/>
        <charset val="204"/>
      </rPr>
      <t>K</t>
    </r>
    <r>
      <rPr>
        <vertAlign val="subscript"/>
        <sz val="12"/>
        <color indexed="8"/>
        <rFont val="Times New Roman"/>
        <family val="1"/>
        <charset val="204"/>
      </rPr>
      <t>41</t>
    </r>
    <r>
      <rPr>
        <sz val="12"/>
        <color indexed="8"/>
        <rFont val="Times New Roman"/>
        <family val="1"/>
        <charset val="204"/>
      </rPr>
      <t>+V</t>
    </r>
    <r>
      <rPr>
        <vertAlign val="subscript"/>
        <sz val="12"/>
        <color indexed="8"/>
        <rFont val="Times New Roman"/>
        <family val="1"/>
        <charset val="204"/>
      </rPr>
      <t>42</t>
    </r>
    <r>
      <rPr>
        <sz val="12"/>
        <color indexed="8"/>
        <rFont val="Times New Roman"/>
        <family val="1"/>
        <charset val="204"/>
      </rPr>
      <t>K</t>
    </r>
    <r>
      <rPr>
        <vertAlign val="subscript"/>
        <sz val="12"/>
        <color indexed="8"/>
        <rFont val="Times New Roman"/>
        <family val="1"/>
        <charset val="204"/>
      </rPr>
      <t>42</t>
    </r>
    <r>
      <rPr>
        <sz val="12"/>
        <color indexed="8"/>
        <rFont val="Times New Roman"/>
        <family val="1"/>
        <charset val="204"/>
      </rPr>
      <t>+ +V</t>
    </r>
    <r>
      <rPr>
        <vertAlign val="subscript"/>
        <sz val="12"/>
        <color indexed="8"/>
        <rFont val="Times New Roman"/>
        <family val="1"/>
        <charset val="204"/>
      </rPr>
      <t>43</t>
    </r>
    <r>
      <rPr>
        <sz val="12"/>
        <color indexed="8"/>
        <rFont val="Times New Roman"/>
        <family val="1"/>
        <charset val="204"/>
      </rPr>
      <t>K</t>
    </r>
    <r>
      <rPr>
        <vertAlign val="subscript"/>
        <sz val="12"/>
        <color indexed="8"/>
        <rFont val="Times New Roman"/>
        <family val="1"/>
        <charset val="204"/>
      </rPr>
      <t>43</t>
    </r>
    <r>
      <rPr>
        <sz val="12"/>
        <color indexed="8"/>
        <rFont val="Times New Roman"/>
        <family val="1"/>
        <charset val="204"/>
      </rPr>
      <t>)</t>
    </r>
  </si>
  <si>
    <r>
      <t>F</t>
    </r>
    <r>
      <rPr>
        <vertAlign val="subscript"/>
        <sz val="12"/>
        <color indexed="8"/>
        <rFont val="Times New Roman"/>
        <family val="1"/>
        <charset val="204"/>
      </rPr>
      <t>11</t>
    </r>
    <r>
      <rPr>
        <sz val="12"/>
        <color indexed="8"/>
        <rFont val="Times New Roman"/>
        <family val="1"/>
        <charset val="204"/>
      </rPr>
      <t>=m</t>
    </r>
    <r>
      <rPr>
        <vertAlign val="subscript"/>
        <sz val="12"/>
        <color indexed="8"/>
        <rFont val="Times New Roman"/>
        <family val="1"/>
        <charset val="204"/>
      </rPr>
      <t>11</t>
    </r>
    <r>
      <rPr>
        <sz val="12"/>
        <color indexed="8"/>
        <rFont val="Times New Roman"/>
        <family val="1"/>
        <charset val="204"/>
      </rPr>
      <t>(V</t>
    </r>
    <r>
      <rPr>
        <vertAlign val="subscript"/>
        <sz val="12"/>
        <color indexed="8"/>
        <rFont val="Times New Roman"/>
        <family val="1"/>
        <charset val="204"/>
      </rPr>
      <t>44</t>
    </r>
    <r>
      <rPr>
        <sz val="12"/>
        <color indexed="8"/>
        <rFont val="Times New Roman"/>
        <family val="1"/>
        <charset val="204"/>
      </rPr>
      <t>K</t>
    </r>
    <r>
      <rPr>
        <vertAlign val="subscript"/>
        <sz val="12"/>
        <color indexed="8"/>
        <rFont val="Times New Roman"/>
        <family val="1"/>
        <charset val="204"/>
      </rPr>
      <t>44</t>
    </r>
    <r>
      <rPr>
        <sz val="12"/>
        <color indexed="8"/>
        <rFont val="Times New Roman"/>
        <family val="1"/>
        <charset val="204"/>
      </rPr>
      <t>+ +V</t>
    </r>
    <r>
      <rPr>
        <vertAlign val="subscript"/>
        <sz val="12"/>
        <color indexed="8"/>
        <rFont val="Times New Roman"/>
        <family val="1"/>
        <charset val="204"/>
      </rPr>
      <t>45</t>
    </r>
    <r>
      <rPr>
        <sz val="12"/>
        <color indexed="8"/>
        <rFont val="Times New Roman"/>
        <family val="1"/>
        <charset val="204"/>
      </rPr>
      <t>K</t>
    </r>
    <r>
      <rPr>
        <vertAlign val="subscript"/>
        <sz val="12"/>
        <color indexed="8"/>
        <rFont val="Times New Roman"/>
        <family val="1"/>
        <charset val="204"/>
      </rPr>
      <t>45</t>
    </r>
    <r>
      <rPr>
        <sz val="12"/>
        <color indexed="8"/>
        <rFont val="Times New Roman"/>
        <family val="1"/>
        <charset val="204"/>
      </rPr>
      <t>+V</t>
    </r>
    <r>
      <rPr>
        <vertAlign val="subscript"/>
        <sz val="12"/>
        <color indexed="8"/>
        <rFont val="Times New Roman"/>
        <family val="1"/>
        <charset val="204"/>
      </rPr>
      <t>46</t>
    </r>
    <r>
      <rPr>
        <sz val="12"/>
        <color indexed="8"/>
        <rFont val="Times New Roman"/>
        <family val="1"/>
        <charset val="204"/>
      </rPr>
      <t>K</t>
    </r>
    <r>
      <rPr>
        <vertAlign val="subscript"/>
        <sz val="12"/>
        <color indexed="8"/>
        <rFont val="Times New Roman"/>
        <family val="1"/>
        <charset val="204"/>
      </rPr>
      <t>46</t>
    </r>
    <r>
      <rPr>
        <sz val="12"/>
        <color indexed="8"/>
        <rFont val="Times New Roman"/>
        <family val="1"/>
        <charset val="204"/>
      </rPr>
      <t>+ +V</t>
    </r>
    <r>
      <rPr>
        <vertAlign val="subscript"/>
        <sz val="12"/>
        <color indexed="8"/>
        <rFont val="Times New Roman"/>
        <family val="1"/>
        <charset val="204"/>
      </rPr>
      <t>47</t>
    </r>
    <r>
      <rPr>
        <sz val="12"/>
        <color indexed="8"/>
        <rFont val="Times New Roman"/>
        <family val="1"/>
        <charset val="204"/>
      </rPr>
      <t>K</t>
    </r>
    <r>
      <rPr>
        <vertAlign val="subscript"/>
        <sz val="12"/>
        <color indexed="8"/>
        <rFont val="Times New Roman"/>
        <family val="1"/>
        <charset val="204"/>
      </rPr>
      <t>47</t>
    </r>
    <r>
      <rPr>
        <sz val="12"/>
        <color indexed="8"/>
        <rFont val="Times New Roman"/>
        <family val="1"/>
        <charset val="204"/>
      </rPr>
      <t>+V</t>
    </r>
    <r>
      <rPr>
        <vertAlign val="subscript"/>
        <sz val="12"/>
        <color indexed="8"/>
        <rFont val="Times New Roman"/>
        <family val="1"/>
        <charset val="204"/>
      </rPr>
      <t>48</t>
    </r>
    <r>
      <rPr>
        <sz val="12"/>
        <color indexed="8"/>
        <rFont val="Times New Roman"/>
        <family val="1"/>
        <charset val="204"/>
      </rPr>
      <t>K</t>
    </r>
    <r>
      <rPr>
        <vertAlign val="subscript"/>
        <sz val="12"/>
        <color indexed="8"/>
        <rFont val="Times New Roman"/>
        <family val="1"/>
        <charset val="204"/>
      </rPr>
      <t>48</t>
    </r>
    <r>
      <rPr>
        <sz val="12"/>
        <color indexed="8"/>
        <rFont val="Times New Roman"/>
        <family val="1"/>
        <charset val="204"/>
      </rPr>
      <t>+ +V</t>
    </r>
    <r>
      <rPr>
        <vertAlign val="subscript"/>
        <sz val="12"/>
        <color indexed="8"/>
        <rFont val="Times New Roman"/>
        <family val="1"/>
        <charset val="204"/>
      </rPr>
      <t>49</t>
    </r>
    <r>
      <rPr>
        <sz val="12"/>
        <color indexed="8"/>
        <rFont val="Times New Roman"/>
        <family val="1"/>
        <charset val="204"/>
      </rPr>
      <t>K</t>
    </r>
    <r>
      <rPr>
        <vertAlign val="subscript"/>
        <sz val="12"/>
        <color indexed="8"/>
        <rFont val="Times New Roman"/>
        <family val="1"/>
        <charset val="204"/>
      </rPr>
      <t>49</t>
    </r>
    <r>
      <rPr>
        <sz val="12"/>
        <color indexed="8"/>
        <rFont val="Times New Roman"/>
        <family val="1"/>
        <charset val="204"/>
      </rPr>
      <t>+V</t>
    </r>
    <r>
      <rPr>
        <vertAlign val="subscript"/>
        <sz val="12"/>
        <color indexed="8"/>
        <rFont val="Times New Roman"/>
        <family val="1"/>
        <charset val="204"/>
      </rPr>
      <t>50</t>
    </r>
    <r>
      <rPr>
        <sz val="12"/>
        <color indexed="8"/>
        <rFont val="Times New Roman"/>
        <family val="1"/>
        <charset val="204"/>
      </rPr>
      <t>K</t>
    </r>
    <r>
      <rPr>
        <vertAlign val="subscript"/>
        <sz val="12"/>
        <color indexed="8"/>
        <rFont val="Times New Roman"/>
        <family val="1"/>
        <charset val="204"/>
      </rPr>
      <t>50</t>
    </r>
    <r>
      <rPr>
        <sz val="12"/>
        <color indexed="8"/>
        <rFont val="Times New Roman"/>
        <family val="1"/>
        <charset val="204"/>
      </rPr>
      <t>+ +V</t>
    </r>
    <r>
      <rPr>
        <vertAlign val="subscript"/>
        <sz val="12"/>
        <color indexed="8"/>
        <rFont val="Times New Roman"/>
        <family val="1"/>
        <charset val="204"/>
      </rPr>
      <t>51</t>
    </r>
    <r>
      <rPr>
        <sz val="12"/>
        <color indexed="8"/>
        <rFont val="Times New Roman"/>
        <family val="1"/>
        <charset val="204"/>
      </rPr>
      <t>K</t>
    </r>
    <r>
      <rPr>
        <vertAlign val="subscript"/>
        <sz val="12"/>
        <color indexed="8"/>
        <rFont val="Times New Roman"/>
        <family val="1"/>
        <charset val="204"/>
      </rPr>
      <t>51</t>
    </r>
    <r>
      <rPr>
        <sz val="12"/>
        <color indexed="8"/>
        <rFont val="Times New Roman"/>
        <family val="1"/>
        <charset val="204"/>
      </rPr>
      <t>+V</t>
    </r>
    <r>
      <rPr>
        <vertAlign val="subscript"/>
        <sz val="12"/>
        <color indexed="8"/>
        <rFont val="Times New Roman"/>
        <family val="1"/>
        <charset val="204"/>
      </rPr>
      <t>52</t>
    </r>
    <r>
      <rPr>
        <sz val="12"/>
        <color indexed="8"/>
        <rFont val="Times New Roman"/>
        <family val="1"/>
        <charset val="204"/>
      </rPr>
      <t>K</t>
    </r>
    <r>
      <rPr>
        <vertAlign val="subscript"/>
        <sz val="12"/>
        <color indexed="8"/>
        <rFont val="Times New Roman"/>
        <family val="1"/>
        <charset val="204"/>
      </rPr>
      <t>52</t>
    </r>
    <r>
      <rPr>
        <sz val="12"/>
        <color indexed="8"/>
        <rFont val="Times New Roman"/>
        <family val="1"/>
        <charset val="204"/>
      </rPr>
      <t>)</t>
    </r>
  </si>
  <si>
    <r>
      <t>V</t>
    </r>
    <r>
      <rPr>
        <b/>
        <vertAlign val="subscript"/>
        <sz val="12"/>
        <color indexed="8"/>
        <rFont val="Times New Roman"/>
        <family val="1"/>
        <charset val="204"/>
      </rPr>
      <t>50</t>
    </r>
    <r>
      <rPr>
        <b/>
        <sz val="12"/>
        <color indexed="8"/>
        <rFont val="Times New Roman"/>
        <family val="1"/>
        <charset val="204"/>
      </rPr>
      <t>=</t>
    </r>
  </si>
  <si>
    <r>
      <t>V</t>
    </r>
    <r>
      <rPr>
        <b/>
        <vertAlign val="subscript"/>
        <sz val="12"/>
        <color indexed="8"/>
        <rFont val="Times New Roman"/>
        <family val="1"/>
        <charset val="204"/>
      </rPr>
      <t>51</t>
    </r>
    <r>
      <rPr>
        <b/>
        <sz val="12"/>
        <color indexed="8"/>
        <rFont val="Times New Roman"/>
        <family val="1"/>
        <charset val="204"/>
      </rPr>
      <t>=</t>
    </r>
  </si>
  <si>
    <r>
      <t>V</t>
    </r>
    <r>
      <rPr>
        <b/>
        <vertAlign val="subscript"/>
        <sz val="12"/>
        <color indexed="8"/>
        <rFont val="Times New Roman"/>
        <family val="1"/>
        <charset val="204"/>
      </rPr>
      <t>52</t>
    </r>
    <r>
      <rPr>
        <b/>
        <sz val="12"/>
        <color indexed="8"/>
        <rFont val="Times New Roman"/>
        <family val="1"/>
        <charset val="204"/>
      </rPr>
      <t>=</t>
    </r>
  </si>
  <si>
    <r>
      <t>V</t>
    </r>
    <r>
      <rPr>
        <b/>
        <vertAlign val="subscript"/>
        <sz val="12"/>
        <color indexed="8"/>
        <rFont val="Times New Roman"/>
        <family val="1"/>
        <charset val="204"/>
      </rPr>
      <t>53</t>
    </r>
    <r>
      <rPr>
        <b/>
        <sz val="12"/>
        <color indexed="8"/>
        <rFont val="Times New Roman"/>
        <family val="1"/>
        <charset val="204"/>
      </rPr>
      <t>=</t>
    </r>
  </si>
  <si>
    <r>
      <t>V</t>
    </r>
    <r>
      <rPr>
        <b/>
        <vertAlign val="subscript"/>
        <sz val="12"/>
        <color indexed="8"/>
        <rFont val="Times New Roman"/>
        <family val="1"/>
        <charset val="204"/>
      </rPr>
      <t>54</t>
    </r>
    <r>
      <rPr>
        <b/>
        <sz val="12"/>
        <color indexed="8"/>
        <rFont val="Times New Roman"/>
        <family val="1"/>
        <charset val="204"/>
      </rPr>
      <t>=</t>
    </r>
  </si>
  <si>
    <r>
      <t>F</t>
    </r>
    <r>
      <rPr>
        <vertAlign val="subscript"/>
        <sz val="12"/>
        <color indexed="8"/>
        <rFont val="Times New Roman"/>
        <family val="1"/>
        <charset val="204"/>
      </rPr>
      <t>12</t>
    </r>
    <r>
      <rPr>
        <sz val="12"/>
        <color indexed="8"/>
        <rFont val="Times New Roman"/>
        <family val="1"/>
        <charset val="204"/>
      </rPr>
      <t>=m</t>
    </r>
    <r>
      <rPr>
        <vertAlign val="subscript"/>
        <sz val="12"/>
        <color indexed="8"/>
        <rFont val="Times New Roman"/>
        <family val="1"/>
        <charset val="204"/>
      </rPr>
      <t>12</t>
    </r>
    <r>
      <rPr>
        <sz val="12"/>
        <color indexed="8"/>
        <rFont val="Times New Roman"/>
        <family val="1"/>
        <charset val="204"/>
      </rPr>
      <t>(V</t>
    </r>
    <r>
      <rPr>
        <vertAlign val="subscript"/>
        <sz val="12"/>
        <color indexed="8"/>
        <rFont val="Times New Roman"/>
        <family val="1"/>
        <charset val="204"/>
      </rPr>
      <t>53</t>
    </r>
    <r>
      <rPr>
        <sz val="12"/>
        <color indexed="8"/>
        <rFont val="Times New Roman"/>
        <family val="1"/>
        <charset val="204"/>
      </rPr>
      <t>K</t>
    </r>
    <r>
      <rPr>
        <vertAlign val="subscript"/>
        <sz val="12"/>
        <color indexed="8"/>
        <rFont val="Times New Roman"/>
        <family val="1"/>
        <charset val="204"/>
      </rPr>
      <t>53</t>
    </r>
    <r>
      <rPr>
        <sz val="12"/>
        <color indexed="8"/>
        <rFont val="Times New Roman"/>
        <family val="1"/>
        <charset val="204"/>
      </rPr>
      <t>+ +V</t>
    </r>
    <r>
      <rPr>
        <vertAlign val="subscript"/>
        <sz val="12"/>
        <color indexed="8"/>
        <rFont val="Times New Roman"/>
        <family val="1"/>
        <charset val="204"/>
      </rPr>
      <t>54</t>
    </r>
    <r>
      <rPr>
        <sz val="12"/>
        <color indexed="8"/>
        <rFont val="Times New Roman"/>
        <family val="1"/>
        <charset val="204"/>
      </rPr>
      <t>K</t>
    </r>
    <r>
      <rPr>
        <vertAlign val="subscript"/>
        <sz val="12"/>
        <color indexed="8"/>
        <rFont val="Times New Roman"/>
        <family val="1"/>
        <charset val="204"/>
      </rPr>
      <t>54</t>
    </r>
    <r>
      <rPr>
        <sz val="12"/>
        <color indexed="8"/>
        <rFont val="Times New Roman"/>
        <family val="1"/>
        <charset val="204"/>
      </rPr>
      <t>+V</t>
    </r>
    <r>
      <rPr>
        <vertAlign val="subscript"/>
        <sz val="12"/>
        <color indexed="8"/>
        <rFont val="Times New Roman"/>
        <family val="1"/>
        <charset val="204"/>
      </rPr>
      <t>55</t>
    </r>
    <r>
      <rPr>
        <sz val="12"/>
        <color indexed="8"/>
        <rFont val="Times New Roman"/>
        <family val="1"/>
        <charset val="204"/>
      </rPr>
      <t>K</t>
    </r>
    <r>
      <rPr>
        <vertAlign val="subscript"/>
        <sz val="12"/>
        <color indexed="8"/>
        <rFont val="Times New Roman"/>
        <family val="1"/>
        <charset val="204"/>
      </rPr>
      <t>55</t>
    </r>
    <r>
      <rPr>
        <sz val="12"/>
        <color indexed="8"/>
        <rFont val="Times New Roman"/>
        <family val="1"/>
        <charset val="204"/>
      </rPr>
      <t>+ +V</t>
    </r>
    <r>
      <rPr>
        <vertAlign val="subscript"/>
        <sz val="12"/>
        <color indexed="8"/>
        <rFont val="Times New Roman"/>
        <family val="1"/>
        <charset val="204"/>
      </rPr>
      <t>56</t>
    </r>
    <r>
      <rPr>
        <sz val="12"/>
        <color indexed="8"/>
        <rFont val="Times New Roman"/>
        <family val="1"/>
        <charset val="204"/>
      </rPr>
      <t>K</t>
    </r>
    <r>
      <rPr>
        <vertAlign val="subscript"/>
        <sz val="12"/>
        <color indexed="8"/>
        <rFont val="Times New Roman"/>
        <family val="1"/>
        <charset val="204"/>
      </rPr>
      <t>56</t>
    </r>
    <r>
      <rPr>
        <sz val="12"/>
        <color indexed="8"/>
        <rFont val="Times New Roman"/>
        <family val="1"/>
        <charset val="204"/>
      </rPr>
      <t>+V</t>
    </r>
    <r>
      <rPr>
        <vertAlign val="subscript"/>
        <sz val="12"/>
        <color indexed="8"/>
        <rFont val="Times New Roman"/>
        <family val="1"/>
        <charset val="204"/>
      </rPr>
      <t>57</t>
    </r>
    <r>
      <rPr>
        <sz val="12"/>
        <color indexed="8"/>
        <rFont val="Times New Roman"/>
        <family val="1"/>
        <charset val="204"/>
      </rPr>
      <t>K</t>
    </r>
    <r>
      <rPr>
        <vertAlign val="subscript"/>
        <sz val="12"/>
        <color indexed="8"/>
        <rFont val="Times New Roman"/>
        <family val="1"/>
        <charset val="204"/>
      </rPr>
      <t>57</t>
    </r>
    <r>
      <rPr>
        <sz val="12"/>
        <color indexed="8"/>
        <rFont val="Times New Roman"/>
        <family val="1"/>
        <charset val="204"/>
      </rPr>
      <t>)</t>
    </r>
  </si>
  <si>
    <r>
      <t>m</t>
    </r>
    <r>
      <rPr>
        <b/>
        <vertAlign val="subscript"/>
        <sz val="12"/>
        <color indexed="8"/>
        <rFont val="Times New Roman"/>
        <family val="1"/>
        <charset val="204"/>
      </rPr>
      <t>12</t>
    </r>
    <r>
      <rPr>
        <b/>
        <sz val="12"/>
        <color indexed="8"/>
        <rFont val="Times New Roman"/>
        <family val="1"/>
        <charset val="204"/>
      </rPr>
      <t>=</t>
    </r>
  </si>
  <si>
    <r>
      <t>V</t>
    </r>
    <r>
      <rPr>
        <b/>
        <vertAlign val="subscript"/>
        <sz val="12"/>
        <color indexed="8"/>
        <rFont val="Times New Roman"/>
        <family val="1"/>
        <charset val="204"/>
      </rPr>
      <t>55</t>
    </r>
    <r>
      <rPr>
        <b/>
        <sz val="12"/>
        <color indexed="8"/>
        <rFont val="Times New Roman"/>
        <family val="1"/>
        <charset val="204"/>
      </rPr>
      <t>=</t>
    </r>
  </si>
  <si>
    <r>
      <t>V</t>
    </r>
    <r>
      <rPr>
        <b/>
        <vertAlign val="subscript"/>
        <sz val="12"/>
        <color indexed="8"/>
        <rFont val="Times New Roman"/>
        <family val="1"/>
        <charset val="204"/>
      </rPr>
      <t>56</t>
    </r>
    <r>
      <rPr>
        <b/>
        <sz val="12"/>
        <color indexed="8"/>
        <rFont val="Times New Roman"/>
        <family val="1"/>
        <charset val="204"/>
      </rPr>
      <t>=</t>
    </r>
  </si>
  <si>
    <r>
      <t>F</t>
    </r>
    <r>
      <rPr>
        <b/>
        <vertAlign val="subscript"/>
        <sz val="12"/>
        <color indexed="8"/>
        <rFont val="Times New Roman"/>
        <family val="1"/>
        <charset val="204"/>
      </rPr>
      <t>12</t>
    </r>
    <r>
      <rPr>
        <b/>
        <sz val="12"/>
        <color indexed="8"/>
        <rFont val="Times New Roman"/>
        <family val="1"/>
        <charset val="204"/>
      </rPr>
      <t>=</t>
    </r>
  </si>
  <si>
    <r>
      <t>V</t>
    </r>
    <r>
      <rPr>
        <b/>
        <vertAlign val="subscript"/>
        <sz val="12"/>
        <color indexed="8"/>
        <rFont val="Times New Roman"/>
        <family val="1"/>
        <charset val="204"/>
      </rPr>
      <t>57</t>
    </r>
    <r>
      <rPr>
        <b/>
        <sz val="12"/>
        <color indexed="8"/>
        <rFont val="Times New Roman"/>
        <family val="1"/>
        <charset val="204"/>
      </rPr>
      <t>=</t>
    </r>
  </si>
  <si>
    <t>Викладання предмета «Основи здоров’я».</t>
  </si>
  <si>
    <r>
      <t>V</t>
    </r>
    <r>
      <rPr>
        <b/>
        <vertAlign val="subscript"/>
        <sz val="12"/>
        <color indexed="8"/>
        <rFont val="Times New Roman"/>
        <family val="1"/>
        <charset val="204"/>
      </rPr>
      <t>58</t>
    </r>
    <r>
      <rPr>
        <b/>
        <sz val="12"/>
        <color indexed="8"/>
        <rFont val="Times New Roman"/>
        <family val="1"/>
        <charset val="204"/>
      </rPr>
      <t>=</t>
    </r>
  </si>
  <si>
    <r>
      <t>V</t>
    </r>
    <r>
      <rPr>
        <b/>
        <vertAlign val="subscript"/>
        <sz val="12"/>
        <color indexed="8"/>
        <rFont val="Times New Roman"/>
        <family val="1"/>
        <charset val="204"/>
      </rPr>
      <t>59</t>
    </r>
    <r>
      <rPr>
        <b/>
        <sz val="12"/>
        <color indexed="8"/>
        <rFont val="Times New Roman"/>
        <family val="1"/>
        <charset val="204"/>
      </rPr>
      <t>=</t>
    </r>
  </si>
  <si>
    <r>
      <t>F</t>
    </r>
    <r>
      <rPr>
        <vertAlign val="subscript"/>
        <sz val="12"/>
        <color indexed="8"/>
        <rFont val="Times New Roman"/>
        <family val="1"/>
        <charset val="204"/>
      </rPr>
      <t>13</t>
    </r>
    <r>
      <rPr>
        <sz val="12"/>
        <color indexed="8"/>
        <rFont val="Times New Roman"/>
        <family val="1"/>
        <charset val="204"/>
      </rPr>
      <t>=m</t>
    </r>
    <r>
      <rPr>
        <vertAlign val="subscript"/>
        <sz val="12"/>
        <color indexed="8"/>
        <rFont val="Times New Roman"/>
        <family val="1"/>
        <charset val="204"/>
      </rPr>
      <t>13</t>
    </r>
    <r>
      <rPr>
        <sz val="12"/>
        <color indexed="8"/>
        <rFont val="Times New Roman"/>
        <family val="1"/>
        <charset val="204"/>
      </rPr>
      <t>(V</t>
    </r>
    <r>
      <rPr>
        <vertAlign val="subscript"/>
        <sz val="12"/>
        <color indexed="8"/>
        <rFont val="Times New Roman"/>
        <family val="1"/>
        <charset val="204"/>
      </rPr>
      <t>58</t>
    </r>
    <r>
      <rPr>
        <sz val="12"/>
        <color indexed="8"/>
        <rFont val="Times New Roman"/>
        <family val="1"/>
        <charset val="204"/>
      </rPr>
      <t>K</t>
    </r>
    <r>
      <rPr>
        <vertAlign val="subscript"/>
        <sz val="12"/>
        <color indexed="8"/>
        <rFont val="Times New Roman"/>
        <family val="1"/>
        <charset val="204"/>
      </rPr>
      <t>58</t>
    </r>
    <r>
      <rPr>
        <sz val="12"/>
        <color indexed="8"/>
        <rFont val="Times New Roman"/>
        <family val="1"/>
        <charset val="204"/>
      </rPr>
      <t>+ +V</t>
    </r>
    <r>
      <rPr>
        <vertAlign val="subscript"/>
        <sz val="12"/>
        <color indexed="8"/>
        <rFont val="Times New Roman"/>
        <family val="1"/>
        <charset val="204"/>
      </rPr>
      <t>59</t>
    </r>
    <r>
      <rPr>
        <sz val="12"/>
        <color indexed="8"/>
        <rFont val="Times New Roman"/>
        <family val="1"/>
        <charset val="204"/>
      </rPr>
      <t>K</t>
    </r>
    <r>
      <rPr>
        <vertAlign val="subscript"/>
        <sz val="12"/>
        <color indexed="8"/>
        <rFont val="Times New Roman"/>
        <family val="1"/>
        <charset val="204"/>
      </rPr>
      <t>59</t>
    </r>
    <r>
      <rPr>
        <sz val="12"/>
        <color indexed="8"/>
        <rFont val="Times New Roman"/>
        <family val="1"/>
        <charset val="204"/>
      </rPr>
      <t>+V</t>
    </r>
    <r>
      <rPr>
        <vertAlign val="subscript"/>
        <sz val="12"/>
        <color indexed="8"/>
        <rFont val="Times New Roman"/>
        <family val="1"/>
        <charset val="204"/>
      </rPr>
      <t>60</t>
    </r>
    <r>
      <rPr>
        <sz val="12"/>
        <color indexed="8"/>
        <rFont val="Times New Roman"/>
        <family val="1"/>
        <charset val="204"/>
      </rPr>
      <t>K</t>
    </r>
    <r>
      <rPr>
        <vertAlign val="subscript"/>
        <sz val="12"/>
        <color indexed="8"/>
        <rFont val="Times New Roman"/>
        <family val="1"/>
        <charset val="204"/>
      </rPr>
      <t>60</t>
    </r>
    <r>
      <rPr>
        <sz val="12"/>
        <color indexed="8"/>
        <rFont val="Times New Roman"/>
        <family val="1"/>
        <charset val="204"/>
      </rPr>
      <t>+ +V</t>
    </r>
    <r>
      <rPr>
        <vertAlign val="subscript"/>
        <sz val="12"/>
        <color indexed="8"/>
        <rFont val="Times New Roman"/>
        <family val="1"/>
        <charset val="204"/>
      </rPr>
      <t>61</t>
    </r>
    <r>
      <rPr>
        <sz val="12"/>
        <color indexed="8"/>
        <rFont val="Times New Roman"/>
        <family val="1"/>
        <charset val="204"/>
      </rPr>
      <t>K</t>
    </r>
    <r>
      <rPr>
        <vertAlign val="subscript"/>
        <sz val="12"/>
        <color indexed="8"/>
        <rFont val="Times New Roman"/>
        <family val="1"/>
        <charset val="204"/>
      </rPr>
      <t>61</t>
    </r>
    <r>
      <rPr>
        <sz val="12"/>
        <color indexed="8"/>
        <rFont val="Times New Roman"/>
        <family val="1"/>
        <charset val="204"/>
      </rPr>
      <t>+V</t>
    </r>
    <r>
      <rPr>
        <vertAlign val="subscript"/>
        <sz val="12"/>
        <color indexed="8"/>
        <rFont val="Times New Roman"/>
        <family val="1"/>
        <charset val="204"/>
      </rPr>
      <t>62</t>
    </r>
    <r>
      <rPr>
        <sz val="12"/>
        <color indexed="8"/>
        <rFont val="Times New Roman"/>
        <family val="1"/>
        <charset val="204"/>
      </rPr>
      <t>K</t>
    </r>
    <r>
      <rPr>
        <vertAlign val="subscript"/>
        <sz val="12"/>
        <color indexed="8"/>
        <rFont val="Times New Roman"/>
        <family val="1"/>
        <charset val="204"/>
      </rPr>
      <t>62</t>
    </r>
    <r>
      <rPr>
        <sz val="12"/>
        <color indexed="8"/>
        <rFont val="Times New Roman"/>
        <family val="1"/>
        <charset val="204"/>
      </rPr>
      <t>+ +V</t>
    </r>
    <r>
      <rPr>
        <vertAlign val="subscript"/>
        <sz val="12"/>
        <color indexed="8"/>
        <rFont val="Times New Roman"/>
        <family val="1"/>
        <charset val="204"/>
      </rPr>
      <t>63</t>
    </r>
    <r>
      <rPr>
        <sz val="12"/>
        <color indexed="8"/>
        <rFont val="Times New Roman"/>
        <family val="1"/>
        <charset val="204"/>
      </rPr>
      <t>K</t>
    </r>
    <r>
      <rPr>
        <vertAlign val="subscript"/>
        <sz val="12"/>
        <color indexed="8"/>
        <rFont val="Times New Roman"/>
        <family val="1"/>
        <charset val="204"/>
      </rPr>
      <t>63</t>
    </r>
    <r>
      <rPr>
        <sz val="12"/>
        <color indexed="8"/>
        <rFont val="Times New Roman"/>
        <family val="1"/>
        <charset val="204"/>
      </rPr>
      <t>+V</t>
    </r>
    <r>
      <rPr>
        <vertAlign val="subscript"/>
        <sz val="12"/>
        <color indexed="8"/>
        <rFont val="Times New Roman"/>
        <family val="1"/>
        <charset val="204"/>
      </rPr>
      <t>64</t>
    </r>
    <r>
      <rPr>
        <sz val="12"/>
        <color indexed="8"/>
        <rFont val="Times New Roman"/>
        <family val="1"/>
        <charset val="204"/>
      </rPr>
      <t>K</t>
    </r>
    <r>
      <rPr>
        <vertAlign val="subscript"/>
        <sz val="12"/>
        <color indexed="8"/>
        <rFont val="Times New Roman"/>
        <family val="1"/>
        <charset val="204"/>
      </rPr>
      <t>64</t>
    </r>
    <r>
      <rPr>
        <sz val="12"/>
        <color indexed="8"/>
        <rFont val="Times New Roman"/>
        <family val="1"/>
        <charset val="204"/>
      </rPr>
      <t>)</t>
    </r>
  </si>
  <si>
    <r>
      <t>V</t>
    </r>
    <r>
      <rPr>
        <b/>
        <vertAlign val="subscript"/>
        <sz val="12"/>
        <color indexed="8"/>
        <rFont val="Times New Roman"/>
        <family val="1"/>
        <charset val="204"/>
      </rPr>
      <t>60</t>
    </r>
    <r>
      <rPr>
        <b/>
        <sz val="12"/>
        <color indexed="8"/>
        <rFont val="Times New Roman"/>
        <family val="1"/>
        <charset val="204"/>
      </rPr>
      <t>=</t>
    </r>
  </si>
  <si>
    <r>
      <t>V</t>
    </r>
    <r>
      <rPr>
        <b/>
        <vertAlign val="subscript"/>
        <sz val="12"/>
        <color indexed="8"/>
        <rFont val="Times New Roman"/>
        <family val="1"/>
        <charset val="204"/>
      </rPr>
      <t>61</t>
    </r>
    <r>
      <rPr>
        <b/>
        <sz val="12"/>
        <color indexed="8"/>
        <rFont val="Times New Roman"/>
        <family val="1"/>
        <charset val="204"/>
      </rPr>
      <t>=</t>
    </r>
  </si>
  <si>
    <r>
      <t>m</t>
    </r>
    <r>
      <rPr>
        <b/>
        <vertAlign val="subscript"/>
        <sz val="12"/>
        <color indexed="8"/>
        <rFont val="Times New Roman"/>
        <family val="1"/>
        <charset val="204"/>
      </rPr>
      <t>13</t>
    </r>
    <r>
      <rPr>
        <b/>
        <sz val="12"/>
        <color indexed="8"/>
        <rFont val="Times New Roman"/>
        <family val="1"/>
        <charset val="204"/>
      </rPr>
      <t>=</t>
    </r>
  </si>
  <si>
    <r>
      <t>V</t>
    </r>
    <r>
      <rPr>
        <b/>
        <vertAlign val="subscript"/>
        <sz val="12"/>
        <color indexed="8"/>
        <rFont val="Times New Roman"/>
        <family val="1"/>
        <charset val="204"/>
      </rPr>
      <t>62</t>
    </r>
    <r>
      <rPr>
        <b/>
        <sz val="12"/>
        <color indexed="8"/>
        <rFont val="Times New Roman"/>
        <family val="1"/>
        <charset val="204"/>
      </rPr>
      <t>=</t>
    </r>
  </si>
  <si>
    <r>
      <t>V</t>
    </r>
    <r>
      <rPr>
        <b/>
        <vertAlign val="subscript"/>
        <sz val="12"/>
        <color indexed="8"/>
        <rFont val="Times New Roman"/>
        <family val="1"/>
        <charset val="204"/>
      </rPr>
      <t>63</t>
    </r>
    <r>
      <rPr>
        <b/>
        <sz val="12"/>
        <color indexed="8"/>
        <rFont val="Times New Roman"/>
        <family val="1"/>
        <charset val="204"/>
      </rPr>
      <t>=</t>
    </r>
  </si>
  <si>
    <r>
      <t>F</t>
    </r>
    <r>
      <rPr>
        <b/>
        <vertAlign val="subscript"/>
        <sz val="12"/>
        <color indexed="8"/>
        <rFont val="Times New Roman"/>
        <family val="1"/>
        <charset val="204"/>
      </rPr>
      <t>13</t>
    </r>
    <r>
      <rPr>
        <b/>
        <sz val="12"/>
        <color indexed="8"/>
        <rFont val="Times New Roman"/>
        <family val="1"/>
        <charset val="204"/>
      </rPr>
      <t>=</t>
    </r>
  </si>
  <si>
    <r>
      <t>V</t>
    </r>
    <r>
      <rPr>
        <b/>
        <vertAlign val="subscript"/>
        <sz val="12"/>
        <color indexed="8"/>
        <rFont val="Times New Roman"/>
        <family val="1"/>
        <charset val="204"/>
      </rPr>
      <t>64</t>
    </r>
    <r>
      <rPr>
        <b/>
        <sz val="12"/>
        <color indexed="8"/>
        <rFont val="Times New Roman"/>
        <family val="1"/>
        <charset val="204"/>
      </rPr>
      <t>=</t>
    </r>
  </si>
  <si>
    <t>Організація роботи з батьками.</t>
  </si>
  <si>
    <r>
      <t>V</t>
    </r>
    <r>
      <rPr>
        <b/>
        <vertAlign val="subscript"/>
        <sz val="12"/>
        <color indexed="8"/>
        <rFont val="Times New Roman"/>
        <family val="1"/>
        <charset val="204"/>
      </rPr>
      <t>65</t>
    </r>
    <r>
      <rPr>
        <b/>
        <sz val="12"/>
        <color indexed="8"/>
        <rFont val="Times New Roman"/>
        <family val="1"/>
        <charset val="204"/>
      </rPr>
      <t>=</t>
    </r>
  </si>
  <si>
    <r>
      <t>F</t>
    </r>
    <r>
      <rPr>
        <vertAlign val="subscript"/>
        <sz val="12"/>
        <color indexed="8"/>
        <rFont val="Times New Roman"/>
        <family val="1"/>
        <charset val="204"/>
      </rPr>
      <t>14</t>
    </r>
    <r>
      <rPr>
        <sz val="12"/>
        <color indexed="8"/>
        <rFont val="Times New Roman"/>
        <family val="1"/>
        <charset val="204"/>
      </rPr>
      <t>=m</t>
    </r>
    <r>
      <rPr>
        <vertAlign val="subscript"/>
        <sz val="12"/>
        <color indexed="8"/>
        <rFont val="Times New Roman"/>
        <family val="1"/>
        <charset val="204"/>
      </rPr>
      <t>14</t>
    </r>
    <r>
      <rPr>
        <sz val="12"/>
        <color indexed="8"/>
        <rFont val="Times New Roman"/>
        <family val="1"/>
        <charset val="204"/>
      </rPr>
      <t>(V</t>
    </r>
    <r>
      <rPr>
        <vertAlign val="subscript"/>
        <sz val="12"/>
        <color indexed="8"/>
        <rFont val="Times New Roman"/>
        <family val="1"/>
        <charset val="204"/>
      </rPr>
      <t>65</t>
    </r>
    <r>
      <rPr>
        <sz val="12"/>
        <color indexed="8"/>
        <rFont val="Times New Roman"/>
        <family val="1"/>
        <charset val="204"/>
      </rPr>
      <t>K</t>
    </r>
    <r>
      <rPr>
        <vertAlign val="subscript"/>
        <sz val="12"/>
        <color indexed="8"/>
        <rFont val="Times New Roman"/>
        <family val="1"/>
        <charset val="204"/>
      </rPr>
      <t>65</t>
    </r>
    <r>
      <rPr>
        <sz val="12"/>
        <color indexed="8"/>
        <rFont val="Times New Roman"/>
        <family val="1"/>
        <charset val="204"/>
      </rPr>
      <t>+ +V</t>
    </r>
    <r>
      <rPr>
        <vertAlign val="subscript"/>
        <sz val="12"/>
        <color indexed="8"/>
        <rFont val="Times New Roman"/>
        <family val="1"/>
        <charset val="204"/>
      </rPr>
      <t>66</t>
    </r>
    <r>
      <rPr>
        <sz val="12"/>
        <color indexed="8"/>
        <rFont val="Times New Roman"/>
        <family val="1"/>
        <charset val="204"/>
      </rPr>
      <t>K</t>
    </r>
    <r>
      <rPr>
        <vertAlign val="subscript"/>
        <sz val="12"/>
        <color indexed="8"/>
        <rFont val="Times New Roman"/>
        <family val="1"/>
        <charset val="204"/>
      </rPr>
      <t>66</t>
    </r>
    <r>
      <rPr>
        <sz val="12"/>
        <color indexed="8"/>
        <rFont val="Times New Roman"/>
        <family val="1"/>
        <charset val="204"/>
      </rPr>
      <t>+V</t>
    </r>
    <r>
      <rPr>
        <vertAlign val="subscript"/>
        <sz val="12"/>
        <color indexed="8"/>
        <rFont val="Times New Roman"/>
        <family val="1"/>
        <charset val="204"/>
      </rPr>
      <t>67</t>
    </r>
    <r>
      <rPr>
        <sz val="12"/>
        <color indexed="8"/>
        <rFont val="Times New Roman"/>
        <family val="1"/>
        <charset val="204"/>
      </rPr>
      <t>K</t>
    </r>
    <r>
      <rPr>
        <vertAlign val="subscript"/>
        <sz val="12"/>
        <color indexed="8"/>
        <rFont val="Times New Roman"/>
        <family val="1"/>
        <charset val="204"/>
      </rPr>
      <t>67</t>
    </r>
    <r>
      <rPr>
        <sz val="12"/>
        <color indexed="8"/>
        <rFont val="Times New Roman"/>
        <family val="1"/>
        <charset val="204"/>
      </rPr>
      <t>)</t>
    </r>
  </si>
  <si>
    <r>
      <t>m</t>
    </r>
    <r>
      <rPr>
        <b/>
        <vertAlign val="subscript"/>
        <sz val="12"/>
        <color indexed="8"/>
        <rFont val="Times New Roman"/>
        <family val="1"/>
        <charset val="204"/>
      </rPr>
      <t>14</t>
    </r>
    <r>
      <rPr>
        <b/>
        <sz val="12"/>
        <color indexed="8"/>
        <rFont val="Times New Roman"/>
        <family val="1"/>
        <charset val="204"/>
      </rPr>
      <t>=</t>
    </r>
  </si>
  <si>
    <r>
      <t>V</t>
    </r>
    <r>
      <rPr>
        <b/>
        <vertAlign val="subscript"/>
        <sz val="12"/>
        <color indexed="8"/>
        <rFont val="Times New Roman"/>
        <family val="1"/>
        <charset val="204"/>
      </rPr>
      <t>66</t>
    </r>
    <r>
      <rPr>
        <b/>
        <sz val="12"/>
        <color indexed="8"/>
        <rFont val="Times New Roman"/>
        <family val="1"/>
        <charset val="204"/>
      </rPr>
      <t>=</t>
    </r>
  </si>
  <si>
    <r>
      <t>F</t>
    </r>
    <r>
      <rPr>
        <b/>
        <vertAlign val="subscript"/>
        <sz val="12"/>
        <color indexed="8"/>
        <rFont val="Times New Roman"/>
        <family val="1"/>
        <charset val="204"/>
      </rPr>
      <t>14</t>
    </r>
    <r>
      <rPr>
        <b/>
        <sz val="12"/>
        <color indexed="8"/>
        <rFont val="Times New Roman"/>
        <family val="1"/>
        <charset val="204"/>
      </rPr>
      <t>=</t>
    </r>
  </si>
  <si>
    <r>
      <t>V</t>
    </r>
    <r>
      <rPr>
        <b/>
        <vertAlign val="subscript"/>
        <sz val="12"/>
        <color indexed="8"/>
        <rFont val="Times New Roman"/>
        <family val="1"/>
        <charset val="204"/>
      </rPr>
      <t>67</t>
    </r>
    <r>
      <rPr>
        <b/>
        <sz val="12"/>
        <color indexed="8"/>
        <rFont val="Times New Roman"/>
        <family val="1"/>
        <charset val="204"/>
      </rPr>
      <t>=</t>
    </r>
  </si>
  <si>
    <r>
      <t>F</t>
    </r>
    <r>
      <rPr>
        <vertAlign val="subscript"/>
        <sz val="12"/>
        <color indexed="8"/>
        <rFont val="Times New Roman"/>
        <family val="1"/>
        <charset val="204"/>
      </rPr>
      <t>2</t>
    </r>
    <r>
      <rPr>
        <sz val="12"/>
        <color indexed="8"/>
        <rFont val="Times New Roman"/>
        <family val="1"/>
        <charset val="204"/>
      </rPr>
      <t>=m</t>
    </r>
    <r>
      <rPr>
        <vertAlign val="subscript"/>
        <sz val="12"/>
        <color indexed="8"/>
        <rFont val="Times New Roman"/>
        <family val="1"/>
        <charset val="204"/>
      </rPr>
      <t>2</t>
    </r>
    <r>
      <rPr>
        <sz val="12"/>
        <color indexed="8"/>
        <rFont val="Times New Roman"/>
        <family val="1"/>
        <charset val="204"/>
      </rPr>
      <t>(V</t>
    </r>
    <r>
      <rPr>
        <vertAlign val="subscript"/>
        <sz val="12"/>
        <color indexed="8"/>
        <rFont val="Times New Roman"/>
        <family val="1"/>
        <charset val="204"/>
      </rPr>
      <t>4</t>
    </r>
    <r>
      <rPr>
        <sz val="12"/>
        <color indexed="8"/>
        <rFont val="Times New Roman"/>
        <family val="1"/>
        <charset val="204"/>
      </rPr>
      <t>K</t>
    </r>
    <r>
      <rPr>
        <vertAlign val="subscript"/>
        <sz val="12"/>
        <color indexed="8"/>
        <rFont val="Times New Roman"/>
        <family val="1"/>
        <charset val="204"/>
      </rPr>
      <t>4</t>
    </r>
    <r>
      <rPr>
        <sz val="12"/>
        <color indexed="8"/>
        <rFont val="Times New Roman"/>
        <family val="1"/>
        <charset val="204"/>
      </rPr>
      <t>+ +V</t>
    </r>
    <r>
      <rPr>
        <vertAlign val="subscript"/>
        <sz val="12"/>
        <color indexed="8"/>
        <rFont val="Times New Roman"/>
        <family val="1"/>
        <charset val="204"/>
      </rPr>
      <t>5</t>
    </r>
    <r>
      <rPr>
        <sz val="12"/>
        <color indexed="8"/>
        <rFont val="Times New Roman"/>
        <family val="1"/>
        <charset val="204"/>
      </rPr>
      <t>K</t>
    </r>
    <r>
      <rPr>
        <vertAlign val="subscript"/>
        <sz val="12"/>
        <color indexed="8"/>
        <rFont val="Times New Roman"/>
        <family val="1"/>
        <charset val="204"/>
      </rPr>
      <t>5</t>
    </r>
    <r>
      <rPr>
        <sz val="12"/>
        <color indexed="8"/>
        <rFont val="Times New Roman"/>
        <family val="1"/>
        <charset val="204"/>
      </rPr>
      <t>+V</t>
    </r>
    <r>
      <rPr>
        <vertAlign val="subscript"/>
        <sz val="12"/>
        <color indexed="8"/>
        <rFont val="Times New Roman"/>
        <family val="1"/>
        <charset val="204"/>
      </rPr>
      <t>6</t>
    </r>
    <r>
      <rPr>
        <sz val="12"/>
        <color indexed="8"/>
        <rFont val="Times New Roman"/>
        <family val="1"/>
        <charset val="204"/>
      </rPr>
      <t>K</t>
    </r>
    <r>
      <rPr>
        <vertAlign val="subscript"/>
        <sz val="12"/>
        <color indexed="8"/>
        <rFont val="Times New Roman"/>
        <family val="1"/>
        <charset val="204"/>
      </rPr>
      <t>6</t>
    </r>
    <r>
      <rPr>
        <sz val="12"/>
        <color indexed="8"/>
        <rFont val="Times New Roman"/>
        <family val="1"/>
        <charset val="204"/>
      </rPr>
      <t>+ +V</t>
    </r>
    <r>
      <rPr>
        <vertAlign val="subscript"/>
        <sz val="12"/>
        <color indexed="8"/>
        <rFont val="Times New Roman"/>
        <family val="1"/>
        <charset val="204"/>
      </rPr>
      <t>7</t>
    </r>
    <r>
      <rPr>
        <sz val="12"/>
        <color indexed="8"/>
        <rFont val="Times New Roman"/>
        <family val="1"/>
        <charset val="204"/>
      </rPr>
      <t>K</t>
    </r>
    <r>
      <rPr>
        <vertAlign val="subscript"/>
        <sz val="12"/>
        <color indexed="8"/>
        <rFont val="Times New Roman"/>
        <family val="1"/>
        <charset val="204"/>
      </rPr>
      <t>7</t>
    </r>
    <r>
      <rPr>
        <sz val="12"/>
        <color indexed="8"/>
        <rFont val="Times New Roman"/>
        <family val="1"/>
        <charset val="204"/>
      </rPr>
      <t>+V</t>
    </r>
    <r>
      <rPr>
        <vertAlign val="subscript"/>
        <sz val="12"/>
        <color indexed="8"/>
        <rFont val="Times New Roman"/>
        <family val="1"/>
        <charset val="204"/>
      </rPr>
      <t>8</t>
    </r>
    <r>
      <rPr>
        <sz val="12"/>
        <color indexed="8"/>
        <rFont val="Times New Roman"/>
        <family val="1"/>
        <charset val="204"/>
      </rPr>
      <t>K</t>
    </r>
    <r>
      <rPr>
        <vertAlign val="subscript"/>
        <sz val="12"/>
        <color indexed="8"/>
        <rFont val="Times New Roman"/>
        <family val="1"/>
        <charset val="204"/>
      </rPr>
      <t>8</t>
    </r>
    <r>
      <rPr>
        <sz val="12"/>
        <color indexed="8"/>
        <rFont val="Times New Roman"/>
        <family val="1"/>
        <charset val="204"/>
      </rPr>
      <t>+ +V</t>
    </r>
    <r>
      <rPr>
        <vertAlign val="subscript"/>
        <sz val="12"/>
        <color indexed="8"/>
        <rFont val="Times New Roman"/>
        <family val="1"/>
        <charset val="204"/>
      </rPr>
      <t>9</t>
    </r>
    <r>
      <rPr>
        <sz val="12"/>
        <color indexed="8"/>
        <rFont val="Times New Roman"/>
        <family val="1"/>
        <charset val="204"/>
      </rPr>
      <t>K</t>
    </r>
    <r>
      <rPr>
        <vertAlign val="subscript"/>
        <sz val="12"/>
        <color indexed="8"/>
        <rFont val="Times New Roman"/>
        <family val="1"/>
        <charset val="204"/>
      </rPr>
      <t>9</t>
    </r>
    <r>
      <rPr>
        <sz val="12"/>
        <color indexed="8"/>
        <rFont val="Times New Roman"/>
        <family val="1"/>
        <charset val="204"/>
      </rPr>
      <t>+V</t>
    </r>
    <r>
      <rPr>
        <vertAlign val="subscript"/>
        <sz val="12"/>
        <color indexed="8"/>
        <rFont val="Times New Roman"/>
        <family val="1"/>
        <charset val="204"/>
      </rPr>
      <t>10</t>
    </r>
    <r>
      <rPr>
        <sz val="12"/>
        <color indexed="8"/>
        <rFont val="Times New Roman"/>
        <family val="1"/>
        <charset val="204"/>
      </rPr>
      <t>K</t>
    </r>
    <r>
      <rPr>
        <vertAlign val="subscript"/>
        <sz val="12"/>
        <color indexed="8"/>
        <rFont val="Times New Roman"/>
        <family val="1"/>
        <charset val="204"/>
      </rPr>
      <t>10</t>
    </r>
    <r>
      <rPr>
        <sz val="12"/>
        <color indexed="8"/>
        <rFont val="Times New Roman"/>
        <family val="1"/>
        <charset val="204"/>
      </rPr>
      <t>+ +V</t>
    </r>
    <r>
      <rPr>
        <vertAlign val="subscript"/>
        <sz val="12"/>
        <color indexed="8"/>
        <rFont val="Times New Roman"/>
        <family val="1"/>
        <charset val="204"/>
      </rPr>
      <t>11</t>
    </r>
    <r>
      <rPr>
        <sz val="12"/>
        <color indexed="8"/>
        <rFont val="Times New Roman"/>
        <family val="1"/>
        <charset val="204"/>
      </rPr>
      <t>K</t>
    </r>
    <r>
      <rPr>
        <vertAlign val="subscript"/>
        <sz val="12"/>
        <color indexed="8"/>
        <rFont val="Times New Roman"/>
        <family val="1"/>
        <charset val="204"/>
      </rPr>
      <t>11</t>
    </r>
    <r>
      <rPr>
        <sz val="12"/>
        <color indexed="8"/>
        <rFont val="Times New Roman"/>
        <family val="1"/>
        <charset val="204"/>
      </rPr>
      <t>+V</t>
    </r>
    <r>
      <rPr>
        <vertAlign val="subscript"/>
        <sz val="12"/>
        <color indexed="8"/>
        <rFont val="Times New Roman"/>
        <family val="1"/>
        <charset val="204"/>
      </rPr>
      <t>12</t>
    </r>
    <r>
      <rPr>
        <sz val="12"/>
        <color indexed="8"/>
        <rFont val="Times New Roman"/>
        <family val="1"/>
        <charset val="204"/>
      </rPr>
      <t>K</t>
    </r>
    <r>
      <rPr>
        <vertAlign val="subscript"/>
        <sz val="12"/>
        <color indexed="8"/>
        <rFont val="Times New Roman"/>
        <family val="1"/>
        <charset val="204"/>
      </rPr>
      <t>12</t>
    </r>
    <r>
      <rPr>
        <sz val="12"/>
        <color indexed="8"/>
        <rFont val="Times New Roman"/>
        <family val="1"/>
        <charset val="204"/>
      </rPr>
      <t>)</t>
    </r>
  </si>
  <si>
    <r>
      <t>F</t>
    </r>
    <r>
      <rPr>
        <vertAlign val="subscript"/>
        <sz val="12"/>
        <color indexed="8"/>
        <rFont val="Times New Roman"/>
        <family val="1"/>
        <charset val="204"/>
      </rPr>
      <t>3</t>
    </r>
    <r>
      <rPr>
        <sz val="12"/>
        <color indexed="8"/>
        <rFont val="Times New Roman"/>
        <family val="1"/>
        <charset val="204"/>
      </rPr>
      <t>=m</t>
    </r>
    <r>
      <rPr>
        <vertAlign val="subscript"/>
        <sz val="12"/>
        <color indexed="8"/>
        <rFont val="Times New Roman"/>
        <family val="1"/>
        <charset val="204"/>
      </rPr>
      <t>3</t>
    </r>
    <r>
      <rPr>
        <sz val="12"/>
        <color indexed="8"/>
        <rFont val="Times New Roman"/>
        <family val="1"/>
        <charset val="204"/>
      </rPr>
      <t>(V</t>
    </r>
    <r>
      <rPr>
        <vertAlign val="subscript"/>
        <sz val="12"/>
        <color indexed="8"/>
        <rFont val="Times New Roman"/>
        <family val="1"/>
        <charset val="204"/>
      </rPr>
      <t>13</t>
    </r>
    <r>
      <rPr>
        <sz val="12"/>
        <color indexed="8"/>
        <rFont val="Times New Roman"/>
        <family val="1"/>
        <charset val="204"/>
      </rPr>
      <t>K</t>
    </r>
    <r>
      <rPr>
        <vertAlign val="subscript"/>
        <sz val="12"/>
        <color indexed="8"/>
        <rFont val="Times New Roman"/>
        <family val="1"/>
        <charset val="204"/>
      </rPr>
      <t>13</t>
    </r>
    <r>
      <rPr>
        <sz val="12"/>
        <color indexed="8"/>
        <rFont val="Times New Roman"/>
        <family val="1"/>
        <charset val="204"/>
      </rPr>
      <t>+ +V</t>
    </r>
    <r>
      <rPr>
        <vertAlign val="subscript"/>
        <sz val="12"/>
        <color indexed="8"/>
        <rFont val="Times New Roman"/>
        <family val="1"/>
        <charset val="204"/>
      </rPr>
      <t>14</t>
    </r>
    <r>
      <rPr>
        <sz val="12"/>
        <color indexed="8"/>
        <rFont val="Times New Roman"/>
        <family val="1"/>
        <charset val="204"/>
      </rPr>
      <t>K</t>
    </r>
    <r>
      <rPr>
        <vertAlign val="subscript"/>
        <sz val="12"/>
        <color indexed="8"/>
        <rFont val="Times New Roman"/>
        <family val="1"/>
        <charset val="204"/>
      </rPr>
      <t>14</t>
    </r>
    <r>
      <rPr>
        <sz val="12"/>
        <color indexed="8"/>
        <rFont val="Times New Roman"/>
        <family val="1"/>
        <charset val="204"/>
      </rPr>
      <t>+V</t>
    </r>
    <r>
      <rPr>
        <vertAlign val="subscript"/>
        <sz val="12"/>
        <color indexed="8"/>
        <rFont val="Times New Roman"/>
        <family val="1"/>
        <charset val="204"/>
      </rPr>
      <t>15</t>
    </r>
    <r>
      <rPr>
        <sz val="12"/>
        <color indexed="8"/>
        <rFont val="Times New Roman"/>
        <family val="1"/>
        <charset val="204"/>
      </rPr>
      <t>K</t>
    </r>
    <r>
      <rPr>
        <vertAlign val="subscript"/>
        <sz val="12"/>
        <color indexed="8"/>
        <rFont val="Times New Roman"/>
        <family val="1"/>
        <charset val="204"/>
      </rPr>
      <t>15</t>
    </r>
    <r>
      <rPr>
        <sz val="12"/>
        <color indexed="8"/>
        <rFont val="Times New Roman"/>
        <family val="1"/>
        <charset val="204"/>
      </rPr>
      <t>+ +V</t>
    </r>
    <r>
      <rPr>
        <vertAlign val="subscript"/>
        <sz val="12"/>
        <color indexed="8"/>
        <rFont val="Times New Roman"/>
        <family val="1"/>
        <charset val="204"/>
      </rPr>
      <t>16</t>
    </r>
    <r>
      <rPr>
        <sz val="12"/>
        <color indexed="8"/>
        <rFont val="Times New Roman"/>
        <family val="1"/>
        <charset val="204"/>
      </rPr>
      <t>K</t>
    </r>
    <r>
      <rPr>
        <vertAlign val="subscript"/>
        <sz val="12"/>
        <color indexed="8"/>
        <rFont val="Times New Roman"/>
        <family val="1"/>
        <charset val="204"/>
      </rPr>
      <t>16</t>
    </r>
    <r>
      <rPr>
        <sz val="12"/>
        <color indexed="8"/>
        <rFont val="Times New Roman"/>
        <family val="1"/>
        <charset val="204"/>
      </rPr>
      <t>)</t>
    </r>
  </si>
  <si>
    <t>Книга протоколів педагогічної (тренерської) ради.</t>
  </si>
  <si>
    <r>
      <t xml:space="preserve"> F</t>
    </r>
    <r>
      <rPr>
        <vertAlign val="subscript"/>
        <sz val="12"/>
        <color indexed="8"/>
        <rFont val="Times New Roman"/>
        <family val="1"/>
        <charset val="204"/>
      </rPr>
      <t>4</t>
    </r>
    <r>
      <rPr>
        <sz val="12"/>
        <color indexed="8"/>
        <rFont val="Times New Roman"/>
        <family val="1"/>
        <charset val="204"/>
      </rPr>
      <t>=m</t>
    </r>
    <r>
      <rPr>
        <vertAlign val="subscript"/>
        <sz val="12"/>
        <color indexed="8"/>
        <rFont val="Times New Roman"/>
        <family val="1"/>
        <charset val="204"/>
      </rPr>
      <t>4</t>
    </r>
    <r>
      <rPr>
        <sz val="12"/>
        <color indexed="8"/>
        <rFont val="Times New Roman"/>
        <family val="1"/>
        <charset val="204"/>
      </rPr>
      <t>(V</t>
    </r>
    <r>
      <rPr>
        <vertAlign val="subscript"/>
        <sz val="12"/>
        <color indexed="8"/>
        <rFont val="Times New Roman"/>
        <family val="1"/>
        <charset val="204"/>
      </rPr>
      <t>17</t>
    </r>
    <r>
      <rPr>
        <sz val="12"/>
        <color indexed="8"/>
        <rFont val="Times New Roman"/>
        <family val="1"/>
        <charset val="204"/>
      </rPr>
      <t>K</t>
    </r>
    <r>
      <rPr>
        <vertAlign val="subscript"/>
        <sz val="12"/>
        <color indexed="8"/>
        <rFont val="Times New Roman"/>
        <family val="1"/>
        <charset val="204"/>
      </rPr>
      <t>17</t>
    </r>
    <r>
      <rPr>
        <sz val="12"/>
        <color indexed="8"/>
        <rFont val="Times New Roman"/>
        <family val="1"/>
        <charset val="204"/>
      </rPr>
      <t>+ +V</t>
    </r>
    <r>
      <rPr>
        <vertAlign val="subscript"/>
        <sz val="12"/>
        <color indexed="8"/>
        <rFont val="Times New Roman"/>
        <family val="1"/>
        <charset val="204"/>
      </rPr>
      <t>18</t>
    </r>
    <r>
      <rPr>
        <sz val="12"/>
        <color indexed="8"/>
        <rFont val="Times New Roman"/>
        <family val="1"/>
        <charset val="204"/>
      </rPr>
      <t>K</t>
    </r>
    <r>
      <rPr>
        <vertAlign val="subscript"/>
        <sz val="12"/>
        <color indexed="8"/>
        <rFont val="Times New Roman"/>
        <family val="1"/>
        <charset val="204"/>
      </rPr>
      <t>18</t>
    </r>
    <r>
      <rPr>
        <sz val="12"/>
        <color indexed="8"/>
        <rFont val="Times New Roman"/>
        <family val="1"/>
        <charset val="204"/>
      </rPr>
      <t>+V</t>
    </r>
    <r>
      <rPr>
        <vertAlign val="subscript"/>
        <sz val="12"/>
        <color indexed="8"/>
        <rFont val="Times New Roman"/>
        <family val="1"/>
        <charset val="204"/>
      </rPr>
      <t>19</t>
    </r>
    <r>
      <rPr>
        <sz val="12"/>
        <color indexed="8"/>
        <rFont val="Times New Roman"/>
        <family val="1"/>
        <charset val="204"/>
      </rPr>
      <t>K</t>
    </r>
    <r>
      <rPr>
        <vertAlign val="subscript"/>
        <sz val="12"/>
        <color indexed="8"/>
        <rFont val="Times New Roman"/>
        <family val="1"/>
        <charset val="204"/>
      </rPr>
      <t>19</t>
    </r>
    <r>
      <rPr>
        <sz val="12"/>
        <color indexed="8"/>
        <rFont val="Times New Roman"/>
        <family val="1"/>
        <charset val="204"/>
      </rPr>
      <t>)</t>
    </r>
  </si>
  <si>
    <r>
      <t>F</t>
    </r>
    <r>
      <rPr>
        <vertAlign val="subscript"/>
        <sz val="12"/>
        <color indexed="8"/>
        <rFont val="Times New Roman"/>
        <family val="1"/>
        <charset val="204"/>
      </rPr>
      <t>5</t>
    </r>
    <r>
      <rPr>
        <sz val="12"/>
        <color indexed="8"/>
        <rFont val="Times New Roman"/>
        <family val="1"/>
        <charset val="204"/>
      </rPr>
      <t>=m</t>
    </r>
    <r>
      <rPr>
        <vertAlign val="subscript"/>
        <sz val="12"/>
        <color indexed="8"/>
        <rFont val="Times New Roman"/>
        <family val="1"/>
        <charset val="204"/>
      </rPr>
      <t>5</t>
    </r>
    <r>
      <rPr>
        <sz val="12"/>
        <color indexed="8"/>
        <rFont val="Times New Roman"/>
        <family val="1"/>
        <charset val="204"/>
      </rPr>
      <t>(V</t>
    </r>
    <r>
      <rPr>
        <vertAlign val="subscript"/>
        <sz val="12"/>
        <color indexed="8"/>
        <rFont val="Times New Roman"/>
        <family val="1"/>
        <charset val="204"/>
      </rPr>
      <t>20</t>
    </r>
    <r>
      <rPr>
        <sz val="12"/>
        <color indexed="8"/>
        <rFont val="Times New Roman"/>
        <family val="1"/>
        <charset val="204"/>
      </rPr>
      <t>K</t>
    </r>
    <r>
      <rPr>
        <vertAlign val="subscript"/>
        <sz val="12"/>
        <color indexed="8"/>
        <rFont val="Times New Roman"/>
        <family val="1"/>
        <charset val="204"/>
      </rPr>
      <t>20</t>
    </r>
    <r>
      <rPr>
        <sz val="12"/>
        <color indexed="8"/>
        <rFont val="Times New Roman"/>
        <family val="1"/>
        <charset val="204"/>
      </rPr>
      <t>+ +V</t>
    </r>
    <r>
      <rPr>
        <vertAlign val="subscript"/>
        <sz val="12"/>
        <color indexed="8"/>
        <rFont val="Times New Roman"/>
        <family val="1"/>
        <charset val="204"/>
      </rPr>
      <t>21</t>
    </r>
    <r>
      <rPr>
        <sz val="12"/>
        <color indexed="8"/>
        <rFont val="Times New Roman"/>
        <family val="1"/>
        <charset val="204"/>
      </rPr>
      <t>K</t>
    </r>
    <r>
      <rPr>
        <vertAlign val="subscript"/>
        <sz val="12"/>
        <color indexed="8"/>
        <rFont val="Times New Roman"/>
        <family val="1"/>
        <charset val="204"/>
      </rPr>
      <t>21</t>
    </r>
    <r>
      <rPr>
        <sz val="12"/>
        <color indexed="8"/>
        <rFont val="Times New Roman"/>
        <family val="1"/>
        <charset val="204"/>
      </rPr>
      <t>)</t>
    </r>
  </si>
  <si>
    <r>
      <t>F</t>
    </r>
    <r>
      <rPr>
        <vertAlign val="subscript"/>
        <sz val="12"/>
        <color indexed="8"/>
        <rFont val="Times New Roman"/>
        <family val="1"/>
        <charset val="204"/>
      </rPr>
      <t>6</t>
    </r>
    <r>
      <rPr>
        <sz val="12"/>
        <color indexed="8"/>
        <rFont val="Times New Roman"/>
        <family val="1"/>
        <charset val="204"/>
      </rPr>
      <t>=m</t>
    </r>
    <r>
      <rPr>
        <vertAlign val="subscript"/>
        <sz val="12"/>
        <color indexed="8"/>
        <rFont val="Times New Roman"/>
        <family val="1"/>
        <charset val="204"/>
      </rPr>
      <t>6</t>
    </r>
    <r>
      <rPr>
        <sz val="12"/>
        <color indexed="8"/>
        <rFont val="Times New Roman"/>
        <family val="1"/>
        <charset val="204"/>
      </rPr>
      <t>(V</t>
    </r>
    <r>
      <rPr>
        <vertAlign val="subscript"/>
        <sz val="12"/>
        <color indexed="8"/>
        <rFont val="Times New Roman"/>
        <family val="1"/>
        <charset val="204"/>
      </rPr>
      <t>22</t>
    </r>
    <r>
      <rPr>
        <sz val="12"/>
        <color indexed="8"/>
        <rFont val="Times New Roman"/>
        <family val="1"/>
        <charset val="204"/>
      </rPr>
      <t>K</t>
    </r>
    <r>
      <rPr>
        <vertAlign val="subscript"/>
        <sz val="12"/>
        <color indexed="8"/>
        <rFont val="Times New Roman"/>
        <family val="1"/>
        <charset val="204"/>
      </rPr>
      <t>22</t>
    </r>
    <r>
      <rPr>
        <sz val="12"/>
        <color indexed="8"/>
        <rFont val="Times New Roman"/>
        <family val="1"/>
        <charset val="204"/>
      </rPr>
      <t>+ +V</t>
    </r>
    <r>
      <rPr>
        <vertAlign val="subscript"/>
        <sz val="12"/>
        <color indexed="8"/>
        <rFont val="Times New Roman"/>
        <family val="1"/>
        <charset val="204"/>
      </rPr>
      <t>23</t>
    </r>
    <r>
      <rPr>
        <sz val="12"/>
        <color indexed="8"/>
        <rFont val="Times New Roman"/>
        <family val="1"/>
        <charset val="204"/>
      </rPr>
      <t>K</t>
    </r>
    <r>
      <rPr>
        <vertAlign val="subscript"/>
        <sz val="12"/>
        <color indexed="8"/>
        <rFont val="Times New Roman"/>
        <family val="1"/>
        <charset val="204"/>
      </rPr>
      <t>23</t>
    </r>
    <r>
      <rPr>
        <sz val="12"/>
        <color indexed="8"/>
        <rFont val="Times New Roman"/>
        <family val="1"/>
        <charset val="204"/>
      </rPr>
      <t>+V</t>
    </r>
    <r>
      <rPr>
        <vertAlign val="subscript"/>
        <sz val="12"/>
        <color indexed="8"/>
        <rFont val="Times New Roman"/>
        <family val="1"/>
        <charset val="204"/>
      </rPr>
      <t>24</t>
    </r>
    <r>
      <rPr>
        <sz val="12"/>
        <color indexed="8"/>
        <rFont val="Times New Roman"/>
        <family val="1"/>
        <charset val="204"/>
      </rPr>
      <t>K</t>
    </r>
    <r>
      <rPr>
        <vertAlign val="subscript"/>
        <sz val="12"/>
        <color indexed="8"/>
        <rFont val="Times New Roman"/>
        <family val="1"/>
        <charset val="204"/>
      </rPr>
      <t>24</t>
    </r>
    <r>
      <rPr>
        <sz val="12"/>
        <color indexed="8"/>
        <rFont val="Times New Roman"/>
        <family val="1"/>
        <charset val="204"/>
      </rPr>
      <t>)</t>
    </r>
  </si>
  <si>
    <r>
      <t>F</t>
    </r>
    <r>
      <rPr>
        <vertAlign val="subscript"/>
        <sz val="12"/>
        <color indexed="8"/>
        <rFont val="Times New Roman"/>
        <family val="1"/>
        <charset val="204"/>
      </rPr>
      <t>7</t>
    </r>
    <r>
      <rPr>
        <sz val="12"/>
        <color indexed="8"/>
        <rFont val="Times New Roman"/>
        <family val="1"/>
        <charset val="204"/>
      </rPr>
      <t>=m</t>
    </r>
    <r>
      <rPr>
        <vertAlign val="subscript"/>
        <sz val="12"/>
        <color indexed="8"/>
        <rFont val="Times New Roman"/>
        <family val="1"/>
        <charset val="204"/>
      </rPr>
      <t>7</t>
    </r>
    <r>
      <rPr>
        <sz val="12"/>
        <color indexed="8"/>
        <rFont val="Times New Roman"/>
        <family val="1"/>
        <charset val="204"/>
      </rPr>
      <t>(V</t>
    </r>
    <r>
      <rPr>
        <vertAlign val="subscript"/>
        <sz val="12"/>
        <color indexed="8"/>
        <rFont val="Times New Roman"/>
        <family val="1"/>
        <charset val="204"/>
      </rPr>
      <t>25</t>
    </r>
    <r>
      <rPr>
        <sz val="12"/>
        <color indexed="8"/>
        <rFont val="Times New Roman"/>
        <family val="1"/>
        <charset val="204"/>
      </rPr>
      <t>K</t>
    </r>
    <r>
      <rPr>
        <vertAlign val="subscript"/>
        <sz val="12"/>
        <color indexed="8"/>
        <rFont val="Times New Roman"/>
        <family val="1"/>
        <charset val="204"/>
      </rPr>
      <t>25</t>
    </r>
    <r>
      <rPr>
        <sz val="12"/>
        <color indexed="8"/>
        <rFont val="Times New Roman"/>
        <family val="1"/>
        <charset val="204"/>
      </rPr>
      <t>+ +V</t>
    </r>
    <r>
      <rPr>
        <vertAlign val="subscript"/>
        <sz val="12"/>
        <color indexed="8"/>
        <rFont val="Times New Roman"/>
        <family val="1"/>
        <charset val="204"/>
      </rPr>
      <t>26</t>
    </r>
    <r>
      <rPr>
        <sz val="12"/>
        <color indexed="8"/>
        <rFont val="Times New Roman"/>
        <family val="1"/>
        <charset val="204"/>
      </rPr>
      <t>K</t>
    </r>
    <r>
      <rPr>
        <vertAlign val="subscript"/>
        <sz val="12"/>
        <color indexed="8"/>
        <rFont val="Times New Roman"/>
        <family val="1"/>
        <charset val="204"/>
      </rPr>
      <t>26</t>
    </r>
    <r>
      <rPr>
        <sz val="12"/>
        <color indexed="8"/>
        <rFont val="Times New Roman"/>
        <family val="1"/>
        <charset val="204"/>
      </rPr>
      <t>+V</t>
    </r>
    <r>
      <rPr>
        <vertAlign val="subscript"/>
        <sz val="12"/>
        <color indexed="8"/>
        <rFont val="Times New Roman"/>
        <family val="1"/>
        <charset val="204"/>
      </rPr>
      <t>27</t>
    </r>
    <r>
      <rPr>
        <sz val="12"/>
        <color indexed="8"/>
        <rFont val="Times New Roman"/>
        <family val="1"/>
        <charset val="204"/>
      </rPr>
      <t>K</t>
    </r>
    <r>
      <rPr>
        <vertAlign val="subscript"/>
        <sz val="12"/>
        <color indexed="8"/>
        <rFont val="Times New Roman"/>
        <family val="1"/>
        <charset val="204"/>
      </rPr>
      <t>27</t>
    </r>
    <r>
      <rPr>
        <sz val="12"/>
        <color indexed="8"/>
        <rFont val="Times New Roman"/>
        <family val="1"/>
        <charset val="204"/>
      </rPr>
      <t>)</t>
    </r>
  </si>
  <si>
    <t xml:space="preserve"> Визначення рівня психолого-педагогічного забезпечення</t>
  </si>
  <si>
    <t>Протокол
 вивчення рівня організації методичної роботи в ДНЗ №___
_______________  району</t>
  </si>
  <si>
    <t>№
 за/п</t>
  </si>
  <si>
    <t>Ступінь виявлення показників</t>
  </si>
  <si>
    <t>Частковая оцінка показників</t>
  </si>
  <si>
    <t>часткова оцінка параметру</t>
  </si>
  <si>
    <t>Інформаційно-методичне забезпечення методичної роботи дошкільного навчального закладу</t>
  </si>
  <si>
    <t>1.1.Наявність та систематизація фондів нормативно-правових та інструктивно-методичних документів, наукової, науково-популярної, методичної психолого-педагогічної, довідкової, енциклопедичної, дитячої художньої літератури, періодичних педагогічних видань, аудіо-, відеоматеріалів, електронних та наочних друкованих засобів навчання, предметної наочності, а також зразків моделей планування, організації, проведення освітнього процесу та інших матеріалів з досвіду роботи педагогів</t>
  </si>
  <si>
    <t>1.2.Наявність та систематизація інформаційного забезпечення педагогічних працівників з проблем освіти, педагогіки, психології, методології й теоретичних основ відповідної галузі науки.</t>
  </si>
  <si>
    <t>1.3.Наявність інформації про якісний та кількісний склад даних педагогічних працівників</t>
  </si>
  <si>
    <t>Реалізація єдиної науково-методичної теми (проблеми), над якою працює педколектив дошкільного навчального закладу у поточному навчальному році</t>
  </si>
  <si>
    <t>2.1.Актуальність теми та аргументованість її вибору</t>
  </si>
  <si>
    <t>2.2.Теоретичне обґрунтування теми</t>
  </si>
  <si>
    <t>2.3. Відповідність тематики науково-теоретичних та практичних заходів закладу єдиній науково-методичній темі району</t>
  </si>
  <si>
    <t>2.4.Наявність алгоритму (моделі або плану) роботи над науково-методичною темою (проблемою)</t>
  </si>
  <si>
    <t>2.5. Наявність матеріалів з обговорення питань щодо роботи над єдиною науково-методичною темою та її результатів</t>
  </si>
  <si>
    <t>Планування методичної роботи з педкадрами</t>
  </si>
  <si>
    <t>3.1.Наявність річного плану роботи</t>
  </si>
  <si>
    <t>3.2.Рівень аналітичного і діагностичного забезпечення</t>
  </si>
  <si>
    <t>Штатний розклад і тарифікація педагогічних працівників, що утримуються за рахунок позабюджетних коштів</t>
  </si>
  <si>
    <t>Організація обліку та використання  позабюджетних коштів</t>
  </si>
  <si>
    <t>Порядок ведення бухгалтерського обліку</t>
  </si>
  <si>
    <t>наявність плану роботи бухгалтерії на рік;  наявність графіку документообігу в бухгалтерії;  наявність плану перевірок та аналіз їх виконання;</t>
  </si>
  <si>
    <t>дотримання порядку організації ведення бухгалтерського обліку та вимог ЗУ «Про бухгалтерський облік та фінансову звітність в Україні»</t>
  </si>
  <si>
    <t>Наявність Законів України «Про охорону праці», «Про пожежну безпеку», нормативні акти, наочні посібники пропаганди з охорони праці та пожежної безпеки</t>
  </si>
  <si>
    <t>Повнота та нормативність складання розділу охорони праці, плану заходів, наявність актів виконання</t>
  </si>
  <si>
    <t>Видання наказів</t>
  </si>
  <si>
    <t>Наявність та нормативність видання наказів: про організацію роботи з питань охорони праці та призначення відповідальних осіб за охорону праці та пожежну безпеку</t>
  </si>
  <si>
    <t>журналу реєстрації вступного інструктажу з питань охорони праці</t>
  </si>
  <si>
    <t>журналу реєстрації інструктажів з питань охорони праці</t>
  </si>
  <si>
    <t>журналу реєстрації інструкцій з охорони праці на виробництві</t>
  </si>
  <si>
    <t>журналу обліку видачі інструкцій з охорони праці на виробництві</t>
  </si>
  <si>
    <t>журналу реєстрації нещасних випадків невиробничого характеру</t>
  </si>
  <si>
    <t>журналу реєстрації нещасних випадків на виробництві</t>
  </si>
  <si>
    <t>журналу протоколів перевірки знань з охорони праці</t>
  </si>
  <si>
    <t>акта прийняття закладу до нового навчального року</t>
  </si>
  <si>
    <t>дозволу на проведення навчальних занять у кабінетах фізики, хімії, біології, інформатики, шкільних майстернях, спортзалі</t>
  </si>
  <si>
    <t>актів виробничого та невиробничого травматизму</t>
  </si>
  <si>
    <t>акту виконання замірів заземлення  електрообладнання</t>
  </si>
  <si>
    <t>дозволу СЕС на експлуатацію харчоблоку та басейну</t>
  </si>
  <si>
    <t>актів обробки протипожежним розчином горищних приміщень</t>
  </si>
  <si>
    <t>актів обстеження штукатурного шару стелі</t>
  </si>
  <si>
    <t>актів перевірки вентиляції</t>
  </si>
  <si>
    <t>Робота з приписами</t>
  </si>
  <si>
    <t>Наявність та стан виконання приписів Держінспекцій (пожежної, СЕС, з охорони праці), інженера з охорони праці РУО.</t>
  </si>
  <si>
    <t>Ооформлення посадових інструкцій</t>
  </si>
  <si>
    <t>Наявність та нормативність оформлення посадових інструкцій робітника з обслуговування будівлі електрика, сантехніка, двірника</t>
  </si>
  <si>
    <t>Оформлення інструкцій за видами робіт</t>
  </si>
  <si>
    <t>Оснащення кабінетів хімії, фізики, біології, спортзалу, майстерень, їдальні</t>
  </si>
  <si>
    <t>Наявність інструкцій на робочих місцях, стан вентиляції, витяжних шаф, наявність заземлення, стан електропроводки, стан зберігання реактивів, стан обладнання, наявність захисної огорожі</t>
  </si>
  <si>
    <t>Атестація працівників харчблоків</t>
  </si>
  <si>
    <t>Наявність посвідчень щодо своєчасного проходження атестації</t>
  </si>
  <si>
    <t>Організація роботи щодо утримання теплорамки</t>
  </si>
  <si>
    <t>Наявність схеми, стан запірної арматури, манометрів, термометрів</t>
  </si>
  <si>
    <t>Наявність автоматичної пожежної сигналізації, аварійного освітлення, вогнегасників, первинних засобів пожежогасіння, пожежних гідрантів, наочних матеріалів з пожежної безпеки, нормативність оформлення планів евакуації</t>
  </si>
  <si>
    <t>ВИВЧЕННЯ СТАНУ ОРГАНІЗАЦІЇ  ОРГАНІЗАЦІЇ ХАРЧУВАННЯ ВИХОВАНЦІВ У ДОШКІЛЬНИХ НАВЧАЛЬНИХ ЗАКЛАДАХ М. ХАРКОВА</t>
  </si>
  <si>
    <t>Інформаційно-нормативне забезпечення управлінської діяльності щодо організації харчування вихованців</t>
  </si>
  <si>
    <t>Планово-прогностична діяльність</t>
  </si>
  <si>
    <t>якість планування</t>
  </si>
  <si>
    <t>Ведення ділової документації</t>
  </si>
  <si>
    <t>нормативність ведення Книги складського обліку харчової продукції, наявність відповідної супровідної документації</t>
  </si>
  <si>
    <t>Дотримання санітарно-гігієнічних умов організації харчування</t>
  </si>
  <si>
    <t>Матеріально-технічні умови організації харчування</t>
  </si>
  <si>
    <t>Якість організації харчування</t>
  </si>
  <si>
    <t>Робота адміністрації з працівниками та батьками</t>
  </si>
  <si>
    <t>Рівень організації харчування дітей дошкільного віку</t>
  </si>
  <si>
    <t>№</t>
  </si>
  <si>
    <t>Фактори, які забезпечують відповідний стан діяльності</t>
  </si>
  <si>
    <t>Вагомість</t>
  </si>
  <si>
    <t>Ступніь прояву</t>
  </si>
  <si>
    <t>Систематизованість нормативно-правових та розпорядчих документів</t>
  </si>
  <si>
    <t>Копії статистичних звітів    (№85-К) за звітній період</t>
  </si>
  <si>
    <t>Наявність статистичних звітів</t>
  </si>
  <si>
    <t>Стан заповнення розділу «Мова роботи в групах» відповідно до рекомендацій органів державної статистики</t>
  </si>
  <si>
    <t>Різноманітність видів та форм контролю</t>
  </si>
  <si>
    <t>Наявність планів розвитку мережі груп ДНЗ, перших класів ЗОШ відповідно до єдиного мовного режиму</t>
  </si>
  <si>
    <t>Змістовність планування роботи з батьками</t>
  </si>
  <si>
    <t>Інформаційно-нормативне забезпечення управлінської діяльності щодо організації відпочинку та оздоровлення дітей</t>
  </si>
  <si>
    <t>Режим роботи ДНЗ (груп)</t>
  </si>
  <si>
    <t> нормативність  дотримання режиму дня</t>
  </si>
  <si>
    <t>Організація харчування</t>
  </si>
  <si>
    <t>стан роботи щодо організації ефективного, збалансованого та якісного харчування</t>
  </si>
  <si>
    <t>нормативність організації додаткового прийому їжі</t>
  </si>
  <si>
    <t>нормативність організації питного режиму</t>
  </si>
  <si>
    <t xml:space="preserve"> дотримання вимог Постанови Кабінету Міністрів України від 22.11.2004 №1591 «Про затвердження норм харчування у навчальних та оздоровчих закладах»: збільшення витрат на харчування у літній оздоровчий період (90 днів) на 10 %</t>
  </si>
  <si>
    <t xml:space="preserve"> стан організації роботи щодо проведення антропометрії</t>
  </si>
  <si>
    <t xml:space="preserve"> дотримання вимог Порядку встановлення плати для батьків за перебування дітей у державних і комунальних дошкільних та інтернат них навчальних закладах затвердженого наказом Міністерства освіти і науки України від 21.11.2002 № 667: організація харчування дітей пільгових категорій</t>
  </si>
  <si>
    <t>Організація медичного обслуговування</t>
  </si>
  <si>
    <t xml:space="preserve"> виконання вимог Положення про медичний кабінет дошкільного навчального закладу затвердженого спільним наказом Міністерства охорони здоров’я та Міністерства освіти і науки України від 30.08.2005 № 432/496</t>
  </si>
  <si>
    <t>обладнання аптечки невідкладної швидкої медичної допомоги</t>
  </si>
  <si>
    <t xml:space="preserve">стан організації роботи щодо проведення санітарно-просвітницької роботи </t>
  </si>
  <si>
    <t>забезпечення профілактики спалахів гострих кишкових інфекцій і харчових отруєнь</t>
  </si>
  <si>
    <t>наявність системи контролю за організацією медичного обслуговування в літній оздоровчий період</t>
  </si>
  <si>
    <t>забезпечення профілактики спалахів гострих кишкових інфекцій і харчових отруєнь;</t>
  </si>
  <si>
    <t>забезпечення контролю за організацією медичного обслуговування в літній оздоровчий період</t>
  </si>
  <si>
    <t xml:space="preserve">Організація роботи з профілактики дитячого травматизму, охорони життя та здоров’я дітей </t>
  </si>
  <si>
    <t>Ступінь прояву</t>
  </si>
  <si>
    <t>Фактори. Напрямки  діяльності, що підлягають аналізу</t>
  </si>
  <si>
    <t xml:space="preserve">Критерії оцінки діяльності </t>
  </si>
  <si>
    <t>І. Загальні засади інформатизації освіти. Інформатизація навчально-виховного процесу.</t>
  </si>
  <si>
    <t>Наявність добірки нормативної бази з питань інформатизації освіти.</t>
  </si>
  <si>
    <t>Наявність розпорядчих документів з питань інформатизації освіти (накази Департаменту освіти, управління освіти адміністрації району Харківської міської ради, стан їх виконання).</t>
  </si>
  <si>
    <t>Наявність проекту (програми) з інформатизації навчального закладу.</t>
  </si>
  <si>
    <t>Наявність та змістовність заходів з інформатизації навчального закладу у плані роботи навчального закладу на рік (або окремого плану).</t>
  </si>
  <si>
    <t>Проведення аналітичної діяльності щодо інформатизації навчального закладу (статистичний та порівняльний аналіз).</t>
  </si>
  <si>
    <t>Здійснення аналізу виконання запланованих заходів з інформатизації за попередній рік (наявність аналізу у плані роботи навчального закладу на рік, наявність довідок та протоколів нарад (педагогічних рад, зборів тощо), де висвітлювалися дані питання).</t>
  </si>
  <si>
    <t>Наявність матеріалів, що підтверджують узагальнення на рівні навчального закладу, району досвіду роботи педагогічних працівників, що запроваджують у системі інформаційно-комунікаційні технології (протоколи засідань педагогічної ради тощо).</t>
  </si>
  <si>
    <t>Наявність та змістовність матеріалів щодо участі навчального закладу у конкурсі-захисті на кращу модель інформатизації навчального закладу «Шкільний інформаційний світ».</t>
  </si>
  <si>
    <t>Наявність матеріалів, що підтверджують участь учасників навчально-виховного процесу у різноманітних конкурсах та заходах з питань запровадження інформаційно-комунікаційних технологій (учнівські та педагогічні конкурси)</t>
  </si>
  <si>
    <t>Проведення методичних заходів з навчання та запровадження інформаційно-комунікаційних технологій.Робота з  програмним комплексом «Міська освітня мережа».</t>
  </si>
  <si>
    <t>Наявність плану роботи (або розроблених заходів) з навчання та запровадження інформаційно-комунікаційних технологій.</t>
  </si>
  <si>
    <t>Наявність матеріалів про організацію та проведення заходів з навчання та запровадження інформаційно-комунікаційних технологій.</t>
  </si>
  <si>
    <t>Здійснення моніторингу охоплення різних категорій педагогічних працівників участю у заходах з навчання та запровадження інформаційно-комунікаційних технологій.</t>
  </si>
  <si>
    <t>Наявність методичних матеріалів (інструкцій, методичних рекомендацій, порад тощо) з питань запровадження інформаційно-комунікаційних технологій.</t>
  </si>
  <si>
    <t xml:space="preserve"> Наявність наказу про призначення відповідальних працівників за роботу з програмним комплексом «Міська освітня мережа». </t>
  </si>
  <si>
    <t>Систематичність роботи з базами даних програмного комплексу «Міська освітня мережа».</t>
  </si>
  <si>
    <t xml:space="preserve">Стан заповнення бази даних (у відсотках за базами даних «Вихованці», «Співробітники», «Приміщення», «ТМЦ», заповнення штатного розпису тощо). </t>
  </si>
  <si>
    <t>Використання автоматизованих задач програмного комплексу.</t>
  </si>
  <si>
    <t>Функціонування сайтів. Впровадження дистанційного навчання.</t>
  </si>
  <si>
    <t>Наявність затвердженого положення про сайт навчального закладу.</t>
  </si>
  <si>
    <t>Відповідність розділів сайту змісту положення про сайт навчального закладу.</t>
  </si>
  <si>
    <t>Змістовність наповнення сайту навчального закладу.</t>
  </si>
  <si>
    <t>Наявність розділу та повної інформації про здійснення прийому громадян.</t>
  </si>
  <si>
    <t>Наявність посилань на сайти управління освіти, Департаменту освіти, Міністерства освіти і науки, молоді та спорту України. Правильність назв установ.</t>
  </si>
  <si>
    <t>Наявність та систематичність оновлення розділу новин. Актуальність інформації, розміщеної на сайті.</t>
  </si>
  <si>
    <t>Моніторинг стану інформатизації навчальних закладів. Технічне забезпечення. Захист інформації. Використання ресурсів мережі Інтернет.</t>
  </si>
  <si>
    <t>Наявність та достовірність баз даних щодо забезпеченості навчального закладу комп’ютерною, мультимедійною та оргтехнікою (наявність паспортів на автоматизовані робочі місця та одиниці техніки).</t>
  </si>
  <si>
    <t xml:space="preserve">Проведення заходів з питань захисту інформації (інформаційно-роз`яснювальна робота із забезпечення захисту персональних даних). </t>
  </si>
  <si>
    <t>Наявність наказів про призначення відповідальних:
- за захист інформації;
- за захист персональних даних.</t>
  </si>
  <si>
    <t>Проведення заходів щодо технічного захисту інформації (наявність антивірусних програм на всіх ПК, їх оновлення, обов’язковість ліцензійного програмного забезпечення або антивірусних програм з відкритою ліцензією).</t>
  </si>
  <si>
    <t>Здійснення аналізу використання трафіку.</t>
  </si>
  <si>
    <t>Науково-методична діяльність щодо роботи із здібними та обдарованими дітьми</t>
  </si>
  <si>
    <t>X</t>
  </si>
  <si>
    <t>Результативність науково-методичної роботи</t>
  </si>
  <si>
    <t xml:space="preserve">11.2. Наявність друкованої продукції вчителів:
- авторські програми;
- розробки підручників, посібників;
- публікації у фахових виданнях
</t>
  </si>
  <si>
    <r>
      <rPr>
        <b/>
        <sz val="14"/>
        <color indexed="8"/>
        <rFont val="Times New Roman"/>
        <family val="1"/>
        <charset val="204"/>
      </rPr>
      <t>Протокол
вивчення рівня організації методичної роботи методичним центром __________________________________ району</t>
    </r>
    <r>
      <rPr>
        <b/>
        <sz val="12"/>
        <color indexed="8"/>
        <rFont val="Times New Roman"/>
        <family val="1"/>
        <charset val="204"/>
      </rPr>
      <t xml:space="preserve">
</t>
    </r>
  </si>
  <si>
    <t>Інформаційно-методичне забезпечення діяльності РМЦ</t>
  </si>
  <si>
    <t>1.1. Наявність та систематизація нормативно-правових документів</t>
  </si>
  <si>
    <t>1.2. Рівень забезпечення методичною, фаховою, педагогічною, психологічною літературою та її систематизація</t>
  </si>
  <si>
    <t>1.3. Наявність матеріалів, які висвітлюють організацію методичної роботи в навчальних закладах</t>
  </si>
  <si>
    <t>1.4. Наявність матеріалів щодо організації профільного навчання</t>
  </si>
  <si>
    <t>1.5. Наявність матеріалів моніторингових досліджень</t>
  </si>
  <si>
    <t>1.6. Наявність інформації про якісний та кількісний склад педагогічних кадрів</t>
  </si>
  <si>
    <t>1.7. Наявність матеріалів щодо роботи творчих груп</t>
  </si>
  <si>
    <t>1.8. Наявність матеріалів щодо діяльності методичних об’єднань</t>
  </si>
  <si>
    <t>Планування діяльності районного методичного центру</t>
  </si>
  <si>
    <t>2.1. Наявність матеріалів щодо вивчення потреб педагогічних кадрів у підвищенні їхньої компетентності</t>
  </si>
  <si>
    <t xml:space="preserve">2.2. Рівень аналітичного забезпечення планування діяльності структурних одиниць МЦ та узгодженість планів роботи між ними:
- плани районних методичних об’єднань;
- плани творчих груп;
- план роботи методичної ради
</t>
  </si>
  <si>
    <t>2.3. Відповідність тематики науково-теоретичних та практичних заходів єдиній науково-методичній темі району</t>
  </si>
  <si>
    <t>2.4. Ступінь охоплення усіх категорій педпрацівників за напрямами діяльності МЦ</t>
  </si>
  <si>
    <t>2.5. Наявність матеріалів щодо виконання цільових програм</t>
  </si>
  <si>
    <t>Реалізація єдиної науково-методичної теми (проблеми) району</t>
  </si>
  <si>
    <t>3.1. Актуальність теми та аргументованість її вибору</t>
  </si>
  <si>
    <t>3.2. Теоретичне обґрунтування теми</t>
  </si>
  <si>
    <t>3.3. Зв'язок із загальною науково-методичною темою міста, області</t>
  </si>
  <si>
    <t>3.4. Наявність алгоритму (моделі або плану) роботи над науково-методичною темою (проблемою)</t>
  </si>
  <si>
    <t>3.5. Наявність матеріалів з обговорення питань щодо роботи над єдиною науково-методичною темою та її результатів</t>
  </si>
  <si>
    <t>Організація ефективної системи методичної роботи, спрямованої на розвиток творчої індивідуальності педагогічних працівників</t>
  </si>
  <si>
    <t>4.1. Наявність наказу про організацію методичної роботи в районі та його зміст</t>
  </si>
  <si>
    <t>4.2. Відповідність структури методичної роботи Положенню про методичний центр</t>
  </si>
  <si>
    <t>4.3. Рівень забезпечення диференційованого підходу до організації методичної роботи з різними категоріями педагогічних працівників</t>
  </si>
  <si>
    <t>4.4. Оптимальність вибору форм і методів роботи</t>
  </si>
  <si>
    <t>4.5. Змістова спрямованість (відповідність річному плануванню)</t>
  </si>
  <si>
    <t>4.6. Рівень використання можливостей шкільних методичних кабінетів в організації науково-методичної роботи</t>
  </si>
  <si>
    <t>5.6. Наявність матеріалів з апробації та впровадження в практику передового педагогічного досвіду</t>
  </si>
  <si>
    <t>6.1. Наявність матеріалів щодо організації курсової підготовки педагогічних працівників</t>
  </si>
  <si>
    <t>6.2. Наявність матеріалів з організації атестації педагогічних працівників</t>
  </si>
  <si>
    <t>Експертна оцінка якості та результативності навчально-виховної роботи педагогічних працівників відповідно до державних освітніх та освітньо-кваліфікаційних стандартів</t>
  </si>
  <si>
    <t>7.1. Рівень забезпечення систематичного вивчення навчальних досягнень учнів навчальних закладів у відповідності до державних освітніх стандартів</t>
  </si>
  <si>
    <t>7.2. Рівень аналітико-оціночної діяльності центру щодо вивчення ефективності науково-методичної роботи в навчальних закладах</t>
  </si>
  <si>
    <t xml:space="preserve">7.3. Рівень забезпечення вивчення стану методичної роботи в навчальних закладах </t>
  </si>
  <si>
    <t>7.4. Наявність оціночного інструментарію (анкет, експертних протоколів тощо)</t>
  </si>
  <si>
    <t>VIII</t>
  </si>
  <si>
    <t>Соціальна спрямованість діяльності РМЦ</t>
  </si>
  <si>
    <t>8.1. Наявність матеріалів щодо участі в обласних, міських програмно-цільових проектах, дослідно-експериментальній діяльності</t>
  </si>
  <si>
    <r>
      <t>8.2. Наявність матеріалів щодо зв</t>
    </r>
    <r>
      <rPr>
        <sz val="12"/>
        <color indexed="8"/>
        <rFont val="Symbol"/>
        <family val="1"/>
        <charset val="2"/>
      </rPr>
      <t>¢</t>
    </r>
    <r>
      <rPr>
        <sz val="12"/>
        <color indexed="8"/>
        <rFont val="Times New Roman"/>
        <family val="1"/>
        <charset val="204"/>
      </rPr>
      <t>язку з ВНЗ, науковими установами</t>
    </r>
  </si>
  <si>
    <t>8.3. Наявність матеріалів щодо участі в конференціях, семінарах, конкурсах для різних категорій. Рівень презентаційної діяльності РМЦ</t>
  </si>
  <si>
    <t>IX</t>
  </si>
  <si>
    <t>9.1. Наявність розділу "Обдарована молодь" Комплексної програми розвитку освіти м.Харкова та районних заходів щодо його виконання</t>
  </si>
  <si>
    <t>9.2. Рівень аналітичного та діагностичного забезпечення планування роботи з обдарованими учнями</t>
  </si>
  <si>
    <t>9.3. Наявність та систематизація результатів психодіагностичних досліджень учнів</t>
  </si>
  <si>
    <t>9.4. Наявність банку даних обдарованих учнів та принцип його формування</t>
  </si>
  <si>
    <t>9.5. Оптимальність вибору форм роботи з обдарованими учнями</t>
  </si>
  <si>
    <t>9.6. Наявність матеріалів щодо відстеження та систематизації результатів участі учнів в олімпіадах, МАН, турнірах, конкурсах</t>
  </si>
  <si>
    <t>9.7. Наявність матеріалів, які висвітлюють  роботу з педкадрами щодо їх підготовки до роботи з обдарованими учнями</t>
  </si>
  <si>
    <t>9.7. Рівень забезпечення соціальної підтримки обдарованих учнів</t>
  </si>
  <si>
    <t xml:space="preserve">Організація та навчально-методичне забезпечення діяльності психологічної служби навчальних закладів </t>
  </si>
  <si>
    <t>10.1. Рівень аналітичного та діагностичного забезпечення планування роботи психологічної служби, ведення ділової документації (статистичні та аналітичні звіти)</t>
  </si>
  <si>
    <t>10.2. Рівень  організації роботи з різними категоріями педагогічних працівників</t>
  </si>
  <si>
    <t>10.3. Наявність матеріалів щодо участі у реалізації державних (регіональних, місцевих) програм, виконання наказів та рішень колегії МОНмолодьспорту України</t>
  </si>
  <si>
    <t>10.4. Наявність науково-методичних, інформаційних матеріалів, підготовлених психологічною службою, та матеріалів щодо участі в експериментально-дослідницькій діяльності</t>
  </si>
  <si>
    <t>10.5. Наявність моніторингу діяльності  психологічних служб навчальних закладів</t>
  </si>
  <si>
    <t>Стан організації нормативного збереження класних журналів попереднього та поточного навчальних років.</t>
  </si>
  <si>
    <t>Відповідність обліку пропущених уроків на предметних сторінках і у зведеному обліку відсутності учнів.</t>
  </si>
  <si>
    <t>Нормативність та своєчасність оформлення сторінки «Рух учнів».</t>
  </si>
  <si>
    <t>Наявність та дотримання графіків повітряно-теплового режиму.</t>
  </si>
  <si>
    <t>Стан організації щоденного 1,5-годинного відпочинку (сну) для першокласників, які відвідують групи продовженого дня.</t>
  </si>
  <si>
    <t>Стан обладнання туалетних кімнат.</t>
  </si>
  <si>
    <t>Дотримання санітарних правил і норм улаштування, утримання загальноосвітнього навчального закладу</t>
  </si>
  <si>
    <t>Наявність і впорядкованість списків дітей віком від 6 до 18 років та дітей, яким до 1 вересня виповнюється 5 років, з розумовими та фізичними вадами, які повинні навчатися, а також тих, які не можуть навчатися наданих до 01 вересня управлінням освіти адміністрації району Харківської міської ради (за формою додатка 2 до Інструкції).</t>
  </si>
  <si>
    <t>Наявність і впорядкованість електронної бази даних дітей віком від 6 до 18 років.</t>
  </si>
  <si>
    <t>Наявність і впорядкованість списків дітей, яким виповнилося на 1 вересня 6-18 років (за кожним роком народження окремо) і які мешкають на закріпленій за навчальним закладом території, наданих до 25 серпня управлінням освіти адміністрації району Харківської міської ради (за формою додатка 1 до Інструкції).</t>
  </si>
  <si>
    <t>Стан освітлення (природного, штучного).</t>
  </si>
  <si>
    <t>Стан управлінської діяльності щодо обліку руху учнів</t>
  </si>
  <si>
    <r>
      <t>1.</t>
    </r>
    <r>
      <rPr>
        <sz val="7"/>
        <color indexed="8"/>
        <rFont val="Times New Roman"/>
        <family val="1"/>
        <charset val="204"/>
      </rPr>
      <t xml:space="preserve">                 </t>
    </r>
    <r>
      <rPr>
        <sz val="12"/>
        <color indexed="8"/>
        <rFont val="Times New Roman"/>
        <family val="1"/>
        <charset val="204"/>
      </rPr>
      <t>Наявність нормативних документів з даного питання.</t>
    </r>
  </si>
  <si>
    <r>
      <t>2.</t>
    </r>
    <r>
      <rPr>
        <sz val="7"/>
        <color indexed="8"/>
        <rFont val="Times New Roman"/>
        <family val="1"/>
        <charset val="204"/>
      </rPr>
      <t xml:space="preserve">                 </t>
    </r>
    <r>
      <rPr>
        <sz val="12"/>
        <color indexed="8"/>
        <rFont val="Times New Roman"/>
        <family val="1"/>
        <charset val="204"/>
      </rPr>
      <t>Ґрунтовність аналізу роботи за минулий навчальний рік з питання перевірки.</t>
    </r>
  </si>
  <si>
    <r>
      <t>3.</t>
    </r>
    <r>
      <rPr>
        <sz val="7"/>
        <color indexed="8"/>
        <rFont val="Times New Roman"/>
        <family val="1"/>
        <charset val="204"/>
      </rPr>
      <t xml:space="preserve">                 </t>
    </r>
    <r>
      <rPr>
        <sz val="12"/>
        <color indexed="8"/>
        <rFont val="Times New Roman"/>
        <family val="1"/>
        <charset val="204"/>
      </rPr>
      <t>Аналітичні матеріали, планування роботи щодо організації та контролю за обліком руху учнів.</t>
    </r>
  </si>
  <si>
    <r>
      <t>4.</t>
    </r>
    <r>
      <rPr>
        <sz val="7"/>
        <color indexed="8"/>
        <rFont val="Times New Roman"/>
        <family val="1"/>
        <charset val="204"/>
      </rPr>
      <t xml:space="preserve">                 </t>
    </r>
    <r>
      <rPr>
        <sz val="12"/>
        <color indexed="8"/>
        <rFont val="Times New Roman"/>
        <family val="1"/>
        <charset val="204"/>
      </rPr>
      <t xml:space="preserve">Розгляд питання організації  обліку учнів, особливо тих, хто не є громадянами України </t>
    </r>
  </si>
  <si>
    <r>
      <t>5.</t>
    </r>
    <r>
      <rPr>
        <sz val="7"/>
        <color indexed="8"/>
        <rFont val="Times New Roman"/>
        <family val="1"/>
        <charset val="204"/>
      </rPr>
      <t xml:space="preserve">      </t>
    </r>
    <r>
      <rPr>
        <sz val="12"/>
        <color indexed="8"/>
        <rFont val="Times New Roman"/>
        <family val="1"/>
        <charset val="204"/>
      </rPr>
      <t>Заходи щодо збереження учнівського контингенту.</t>
    </r>
  </si>
  <si>
    <r>
      <t>6.</t>
    </r>
    <r>
      <rPr>
        <sz val="7"/>
        <color indexed="8"/>
        <rFont val="Times New Roman"/>
        <family val="1"/>
        <charset val="204"/>
      </rPr>
      <t xml:space="preserve">      </t>
    </r>
    <r>
      <rPr>
        <sz val="12"/>
        <color indexed="8"/>
        <rFont val="Times New Roman"/>
        <family val="1"/>
        <charset val="204"/>
      </rPr>
      <t>Контроль за конкурсним прийманням учнів до закладів нового типу.</t>
    </r>
  </si>
  <si>
    <r>
      <t>7.</t>
    </r>
    <r>
      <rPr>
        <sz val="7"/>
        <color indexed="8"/>
        <rFont val="Times New Roman"/>
        <family val="1"/>
        <charset val="204"/>
      </rPr>
      <t xml:space="preserve">                 </t>
    </r>
    <r>
      <rPr>
        <sz val="12"/>
        <color indexed="8"/>
        <rFont val="Times New Roman"/>
        <family val="1"/>
        <charset val="204"/>
      </rPr>
      <t>Результати контрольно-аналітичної діяльності з даного питання (довідки, накази тощо).</t>
    </r>
  </si>
  <si>
    <t>ЕКСПЕРТИЗИ (ВИВЧЕННЯ) СТАНУ УПРАВЛІНСЬКОЇ ДІЯЛЬНОСТІ УПРАВЛІННЯ ОСВІТИ АДМІНІСТРАЦЙІЇ РАЙОНУ ХАРКІВСЬКОЇ МІСЬКОЇ РАДИ ЩОДО ОБЛІКУ РУХУ УЧНІВ</t>
  </si>
  <si>
    <t>ВИВЧЕННЯ СТАНУ ЦИВІЛЬНОЇ ОБОРОНИ УПРАВЛІННЯ ОСВІТИ АДМІНІСТРАЦЙІЇ РАЙОНУ ХАРКІВСЬКОЇ МІСЬКОЇ РАДИ</t>
  </si>
  <si>
    <t>Наявність основних нормативних документів (Закон України «Про освіту», Закон України «Про загальну середню освіту», Закон України «Про Національний архівний фонд та архівні установи», Типове положення про відділ  освіти районної, районної у мм. Києві та Севастополі державної адміністрації, затвердженого постановою Кабінету Міністрів України від 11.03.1999 № 347, Правила роботи архівних підрозділів органів державної влади, місцевого самоврядування, підприємств, установ і організацій, затверджених наказом Державного комітету України від 16.03.2001 № 16 (із змінами), Перелік типових документів, що створюються під час діяльності органів державної влади та місцевого самоврядування, інших установ, підприємств та організацій, із зазначенням строків зберігання документів, затверджений наказом Міністерства юстиції України від 12.04.2012 № 578/5, постанова Кабінету Міністрів України від 30.11.2011 № 1242 «Про затвердження Типової інструкції з діловодства у центральних органах виконавчої влади, Раді міністрів Автономної Республіки Крим, місцевих органах виконавчої влади»)</t>
  </si>
  <si>
    <t>·   Сформованість управлінського циклу (аналіз і прогноз, організація виконання, контролю, коригування).</t>
  </si>
  <si>
    <t>·   Ефективність роботи колегії (ради).</t>
  </si>
  <si>
    <t>Ведення документації державною мовою (п. 1.7), крім випадків, передбачених  Законом України «Про засади державної мовної політики».</t>
  </si>
  <si>
    <t>Ведення документації державною мовою, крім випадків, передбачених  Законом України «Про засади державної мовної політики»</t>
  </si>
  <si>
    <t>Ведення документації державною мовою (п. 17), крім випадків, передбачених  Законом України «Про засади державної мовної політики».</t>
  </si>
  <si>
    <t>ЕКСПЕРТИЗИ (ВИВЧЕННЯ) СТАНУ УПРАВЛІНСЬКОЇ ДІЯЛЬНОСТІ УО АР ХМР  ЩОДО ОРГАНІЗАЦІЇ НАВЧАННЯ УЧНІВ ЗА ЕКСТЕРНАТНОЮ ФОРМОЮ</t>
  </si>
  <si>
    <t>Стан управлінської діяльності щодо організації навчання учнів за екстернатною формою</t>
  </si>
  <si>
    <t>2.Розгляд питання організації навчання за екстернатною формою на апаратних нарадах, нарадах керівників загальноосвітніх навчальних закладів.</t>
  </si>
  <si>
    <t>3.Наявність необхідних пакетів документів для організації навчання за екстернатною формою</t>
  </si>
  <si>
    <t xml:space="preserve">5.Аналітичні матеріали, планування роботи щодо організації та контролю за організацією навчання за екстернатною формою. </t>
  </si>
  <si>
    <t>6.Результати контрольно-аналітичної діяльності з даного питання (дові дки, накази тощо).</t>
  </si>
  <si>
    <t>ЕКСПЕРТИЗИ (ВИВЧЕННЯ) СТАНУ УПРАВЛІНСЬКОЇ ДІЯЛЬНОСТІ УО АР ХМР ЩОДО ОРГАНІЗАЦІЇ НАВЧАННЯ УЧНІВ ЗА ІНДИВІДУАЛЬНОЮ ФОРМОЮ</t>
  </si>
  <si>
    <t>Стан управлінської діяльності щодо організації навчання учнів за індивідуальною формою</t>
  </si>
  <si>
    <t>2.Розгляд питання організації навчання за індивідуальною формою на апаратних нарадах, нарадах керівників загальноосвітніх навчальних закладів.</t>
  </si>
  <si>
    <t>3.Наявність необхідних пакетів документів для організації навчання за індивідуальною формою</t>
  </si>
  <si>
    <t>5.Аналітичні матеріали, планування роботи щодо організації та контролю за організацією навчання за індивідуальною формою.</t>
  </si>
  <si>
    <t>ВИВЧЕННЯ СТАНУ РОБОТИ З ПИТАНЬ ОХОРОНИ ПРАЦІ ТА ПОЖЕЖНОЇ БЕЗПЕКИ В НАВЧАЛЬНИХ ЗАКЛАДАХ</t>
  </si>
  <si>
    <r>
      <t xml:space="preserve">вивчення стану діяльності  управління  освіти 
адміністрації </t>
    </r>
    <r>
      <rPr>
        <b/>
        <u/>
        <sz val="12"/>
        <rFont val="Times New Roman"/>
        <family val="1"/>
        <charset val="204"/>
      </rPr>
      <t xml:space="preserve"> району</t>
    </r>
    <r>
      <rPr>
        <b/>
        <sz val="12"/>
        <rFont val="Times New Roman"/>
        <family val="1"/>
        <charset val="204"/>
      </rPr>
      <t xml:space="preserve"> Харківської міської  ради 
з питань дотримання законодавства з охорони прав дитинства, соціального захисту дітей</t>
    </r>
  </si>
  <si>
    <t>вивчення стану дотримання законодавства з охорони прав дитинства, соціального захисту учнів у загальноосвітньому навчальному закладі</t>
  </si>
  <si>
    <r>
      <t xml:space="preserve">вивчення стану діяльності  управління  освіти 
адміністрації </t>
    </r>
    <r>
      <rPr>
        <b/>
        <u/>
        <sz val="12"/>
        <rFont val="Times New Roman"/>
        <family val="1"/>
        <charset val="204"/>
      </rPr>
      <t xml:space="preserve"> району</t>
    </r>
    <r>
      <rPr>
        <b/>
        <sz val="12"/>
        <rFont val="Times New Roman"/>
        <family val="1"/>
        <charset val="204"/>
      </rPr>
      <t xml:space="preserve"> Харківської міської  ради 
з питань організації виховної профілактичної роботи щодо запобігання дитячій злочинності та правопорушенням
</t>
    </r>
  </si>
  <si>
    <t>вивчення стану організації виховної профілактичної роботи щодо запобігання дитячій злочинності та правопорушенням у загальноосвітньому навчальному закладі</t>
  </si>
  <si>
    <t>Параметри</t>
  </si>
  <si>
    <t>Показники параметрів</t>
  </si>
  <si>
    <t>Ступінь виявлення показника</t>
  </si>
  <si>
    <t>Часткова оцінка показника</t>
  </si>
  <si>
    <t>Часткова оцінка параметра</t>
  </si>
  <si>
    <t>вивчення стану забезпечення соціального захисту вихованців 
у дошкільному навчальному закладі</t>
  </si>
  <si>
    <t>Експертна оцінка, 
Кn</t>
  </si>
  <si>
    <t>розгляд питання соціального захисту дітей пільгових категорій на засіданнях педагогічної ради, нарадах при директорові, засіданнях методичного об’єднання вихователів тощо</t>
  </si>
  <si>
    <t>ана­ліз стану роботи з питань соціального захисту вихованців;</t>
  </si>
  <si>
    <t>Ведення книги наказів  із загальних питань</t>
  </si>
  <si>
    <t>наявність наказу про призначення громадського інспектора з охорони дитинства</t>
  </si>
  <si>
    <t>Організація роботи щодо забезпечення соціального захисту вихованців пільгових категорій</t>
  </si>
  <si>
    <t>облік дітей пільгових категорій, соціальний паспорт групи, закладу;</t>
  </si>
  <si>
    <t>наявність актів обстеження житлово-побутових умов проживання дитини</t>
  </si>
  <si>
    <t>Система обліку  сімей, які опинились у складних життєвих обставинах і не забезпечують належних умов для утримання і виховання дітей</t>
  </si>
  <si>
    <t>наявність  обстеження житлово-побутових умов проживання дитини;</t>
  </si>
  <si>
    <t>наявність плану роботи практичного психолога закладу;</t>
  </si>
  <si>
    <t>стан індивідуальної корекційної роботи з вихованцями;</t>
  </si>
  <si>
    <t>стан організації роботи з вихователями та педагогічним колективом</t>
  </si>
  <si>
    <t>Система медичного обстеження та обслуговування вихованців</t>
  </si>
  <si>
    <t xml:space="preserve">Забезпечення безкоштовного харчування дітей пільгового контингенту, створення умов для харчування всіх дітей у закладі </t>
  </si>
  <si>
    <t>наявність наказу про організацію харчування;</t>
  </si>
  <si>
    <t>забезпечення безкоштовного харчування дітей пільгового контингенту</t>
  </si>
  <si>
    <t>Практика соціальної
 підтримки пільгових категорій</t>
  </si>
  <si>
    <t>використання можливостей благодійних та громадських об’єднань;</t>
  </si>
  <si>
    <t>інші форми роботи та соціальної підтримки</t>
  </si>
  <si>
    <t xml:space="preserve">вивчення стану управлінської діяльності щодо організації медичного обслуговування учнів та обстеження працівників ЗНЗ  </t>
  </si>
  <si>
    <t xml:space="preserve"> Дотримання Інструкції щодо порядку ведення форми первинного обліку 
№ 1-ОМК «Особова медична книжка».</t>
  </si>
  <si>
    <t>Всього</t>
  </si>
  <si>
    <t>Вивчення стану дотримання положень нормативних документів з трудового законодавства УО</t>
  </si>
  <si>
    <t>Планування роботи з кадрами</t>
  </si>
  <si>
    <t>Контрольно-аналітична діяльність управління освіти щодо роботи з кадрами</t>
  </si>
  <si>
    <t xml:space="preserve">Накази про організацію, результати перевірки навчальних закладів щодо дотримання трудового законодавства.
</t>
  </si>
  <si>
    <t>Протоколи колегії управління освіти, нарад з керівниками навчальних закладів та їх заступниками, апаратних нарад:
-кадрові питання на нарадах, управілнські рішеня, доручення з питань кадрової роботи.</t>
  </si>
  <si>
    <t>Анатлітичні довідки про перевірку навчальних закладів щодо дотримання положень  нормативних документів з трудового законодавства. Кількість переверінних навчальних закладів, системність роботи.</t>
  </si>
  <si>
    <t>Аналіз роботи щодо кадрового забезпечепння навчальних закладів району (узагальнюючий звіт за рік).
Статистичні звіти
Плинність
- прийнято на роботу у 201__ році
- звільнено з роботи у 201__ році
- плинність у закладі ___% 
 у порівнянні з середньою по місту більше/менше на %
Наявність вакансії педкадрів та обслуговуючого персоналу у навчальних закладах.</t>
  </si>
  <si>
    <t>Організація роботи з кадрами в управлінні освіти</t>
  </si>
  <si>
    <t xml:space="preserve">Особові справи працівників управління освіти
- відповідність кількості особових справ кількості працівників;
- наявність документів, систематизація;
- обґрунтованість і обумовленість розстановки кадрів за спеціальністю і освітою
</t>
  </si>
  <si>
    <t xml:space="preserve">Штатний розпис - нормативність складання, затвердження.
Графіки роботи адміністрації, обслуговуючого персоналу
- відповідність штатному розпису, законодавству (відпрацювання робочого часу, перерви на обід).
</t>
  </si>
  <si>
    <t>Параметри, що забезпечують відповідний стан діяльності</t>
  </si>
  <si>
    <t>Фактори, що забезпечують відповідний стан діяльності</t>
  </si>
  <si>
    <t>І. Дотримання нормативних документів з питань інформатизації</t>
  </si>
  <si>
    <t>1.1. Наявність добірки нормативно-правових документів з питань інформатизації у т.ч. нормативних документів щодо функціонування кабінетів інформатики та інформаційно-комунікаційних технологій</t>
  </si>
  <si>
    <t>1.2. Виконання чинних нормативно-правових документів</t>
  </si>
  <si>
    <t>1.3. Нормативні засади функціонування ЛКТО (наявність Положення про ЛКТО, посадових обов`язків, розділу плану роботи УО щодо інформатизації навчальних закладів тощо)</t>
  </si>
  <si>
    <t>2.1. Забезпеченість комп`ютерною технікою ЛКТО та інших структурних підрозділів управління освіти</t>
  </si>
  <si>
    <t>2.2. Облік та цільове використання комп’ютерної техніки (наявність інвентарних номерів на усіх одиницях комп`ютерної техніки, доступу до мережі Інтернет з кожного автоматизованого робочого місця в управлінні освіти)</t>
  </si>
  <si>
    <t>2.3. Ведення обліку (моніторингу) стану інформатизації підпорядкованих навчальних закладів</t>
  </si>
  <si>
    <t>3.1.Ліцензійне програмне забезпечення  усіх ПК управління освіти.  Здійснення контролю за використанням навчальними закладми ліценційного програмного забезпечення</t>
  </si>
  <si>
    <t>3.2. Здійснення контролю за роботою у ПК "Міська освітня мережа"</t>
  </si>
  <si>
    <t>IV. Інформатизація та комп’ютеризація управлінської діяльності та методичної роботи</t>
  </si>
  <si>
    <t>4.1. Розробка рекомендацій, інструкцій, порад щодо підвищення рівня інформатизації освіти для різних категорій педагогічних працівників</t>
  </si>
  <si>
    <t>4.2. Здійснення моніторингу ефективності використання ресурів мережі Інтернет підпорядкованими навчальними закладами</t>
  </si>
  <si>
    <t>4.3. Здійснення організаційно-методичного супроводу діяльності навчальних закладів з питань інформатизації освіти, проведення методичних заходів з питань інформатизації, консультацій для освітян району, проведення навчання педагогічних працівників з питань ІКТ</t>
  </si>
  <si>
    <t>4.4. Організація та проведення районних етапів конкурсів з питань інформатизації ("Шкільний інформаційний світ", на кращий дистанційний курс тощо), результативність участі підпорядкованих навчальних закладів у міському етапі</t>
  </si>
  <si>
    <t>4.5. Здійснення моніторингу рівня володіння ПК педагогічними працівниками</t>
  </si>
  <si>
    <t>4.6. Структурованість та інформаційне наповнення сайту управління освіти</t>
  </si>
  <si>
    <t xml:space="preserve">4.7. Систематичність здіснення контролю за функціонуванням та  інформаційним наповненням сайтів  підпорядкованих навчальних закладів </t>
  </si>
  <si>
    <t xml:space="preserve">Протокол 
вивчення стану цільового використання навчальними закладами комунальної форми власності м. Харкова комп’ютерної, мультимедійної техніки 
у ________________________________________
від ________________2013 р.
ПІБ керівника ________________________________
</t>
  </si>
  <si>
    <t>Фактори. Напрями, що підлягають вивченню</t>
  </si>
  <si>
    <t>Критерії. Зміст питань, що підлягають вивченню</t>
  </si>
  <si>
    <t>Облік наявної комп’ютерної, мультимедійної та оргтехніки</t>
  </si>
  <si>
    <t>Наявність та правильність оформлення записів в інвентарній книзі про взяття на баланс комп’ютерної та мультимедійної техніки, що була придбана у 2011 році за кошти міського бюджету</t>
  </si>
  <si>
    <t>Наявність та правильність оформлення наказу по навчальному закладу про призначення матеріально-відповідальної особи за поставлену техніку</t>
  </si>
  <si>
    <t>Наявність повного комплекту документації на поставлену техніку (накладна, паспорт на поставлену техніку)</t>
  </si>
  <si>
    <t>Відповідність даних, внесених до інвентарної книги записам у БД «ТМЦ» програмного комплексу «Міська освітня мережа»</t>
  </si>
  <si>
    <t>Ведення документації кабінету інформатики</t>
  </si>
  <si>
    <t>Наявність та правильність оформлення інвентарної книги кабінету інформатики та інформаційно-комунікаційних технологій навчання</t>
  </si>
  <si>
    <t>Наявність графіку завантаженості кабінету інформатики та інформаційно-комунікаційних технологій навчання на 2011-2012 н.р., затвердженого директором навчального закладу</t>
  </si>
  <si>
    <t>Наявність журналу обліку роботи НКК</t>
  </si>
  <si>
    <t>Наявність санітарного паспорту кабінету, оформленого і затвердженого у порядку, передбаченому в ДСанПін 5.5.6.009-98</t>
  </si>
  <si>
    <t xml:space="preserve"> Кадрове забезпечення медичного обслуговування вихованців</t>
  </si>
  <si>
    <t>стан роботи щодо підвищення кваліфікації медичного персоналу (курси підвищення кваліфікації, відвідування та участь у методичних об'єднаннях, семінарах та інших заходах)</t>
  </si>
  <si>
    <t xml:space="preserve">   стан забезпечення ДНЗ  медичними працівниками (наявність відповідної фахової освіти) відповідно до штатного розпису ДНЗ</t>
  </si>
  <si>
    <t xml:space="preserve">наявність  посадових інструкцій медичних працівників, їх змістовність та оформлення відповідно до нормативних вимог </t>
  </si>
  <si>
    <t xml:space="preserve">Створення системності контролю за медичним обслуговуванням  </t>
  </si>
  <si>
    <t>результати контрольно-аналітичної діяльності з цього питання (довідки, накази тощо)</t>
  </si>
  <si>
    <t xml:space="preserve">стан контролю за виконанням  рішень педагогічної ради, доручень нарад, наказів </t>
  </si>
  <si>
    <t> системність та ефективність контролю, контроль з боку органів санепідемстанції (виконання приписів)</t>
  </si>
  <si>
    <r>
      <t xml:space="preserve"> </t>
    </r>
    <r>
      <rPr>
        <sz val="14"/>
        <rFont val="Times New Roman"/>
        <family val="1"/>
        <charset val="204"/>
      </rPr>
      <t>Організація проведення медичних оглядів</t>
    </r>
  </si>
  <si>
    <t>стан виконання Інструкції щодо порядку ведення форми первинного обліку N 1-ОМК «Особова медична книжка»</t>
  </si>
  <si>
    <t>нормативність видання наказу «Про проходження профілактичних медичних оглядів працівниками ДНЗ», його змістовність</t>
  </si>
  <si>
    <t>стан роботи щодо своєчасного і повного проходження профілактичних медичних оглядів працівниками ДНЗ</t>
  </si>
  <si>
    <t>нормативність складання графіку проходження профілактичних медичних оглядів працівниками ДНЗ та своєчасне його виконання</t>
  </si>
  <si>
    <t>Вагомість предмета</t>
  </si>
  <si>
    <t>Вагомість показника</t>
  </si>
  <si>
    <t>стан забезпечення нормативно-правовими та розпорядчими документами з питань організації харчування вихованців, упорядкування та систематизація документів</t>
  </si>
  <si>
    <t xml:space="preserve"> відповідність статутних положень у частині: організація харчування вихованців; нормативність оформлення матеріалів державної атестації ДНЗ у частині організації харчування вихованців  </t>
  </si>
  <si>
    <t>наявність планів роботи (річний план, календарні та перспективні плани педагогічних та медичних працівників) відповідно до номенклатури страв</t>
  </si>
  <si>
    <t>стан дотримання вимог до складання та оформлення планів</t>
  </si>
  <si>
    <t xml:space="preserve">якість планування (дієвість, реальність запланованих заходів у річному плані роботи та у календарних і перспективних планах педагогічних та медичних працівників, якість аналізу у частині організації харчування у річному плані роботи) </t>
  </si>
  <si>
    <t>Стан кадрового забезпечення харчоблоків</t>
  </si>
  <si>
    <t>укомплектованість харчоблоку ДНЗ персоналом відповідно до штатного розпису, наявність спеціальної професійної освіти у кухарів</t>
  </si>
  <si>
    <t>своєчасність проходження курсів підвищення кваліфікації кухарів, санітарного мінімуму та медичних оглядів працівниками харчоблоку, в тому числі комірником (завгоспом)</t>
  </si>
  <si>
    <t>своєчасність видання та дієвість наказів про організацію харчування</t>
  </si>
  <si>
    <t>нормативність ведення Журналу обліку виконання норм харчування</t>
  </si>
  <si>
    <t>нормативність ведення Журналу бракеражу сирих продуктів</t>
  </si>
  <si>
    <t>нормативність ведення Журналу бракеражу готової продукції</t>
  </si>
  <si>
    <t>нормативність ведення Журналу здоров’я працівників харчоблоку</t>
  </si>
  <si>
    <t>нормативність ведення Журналу обліку роботи з гігієнічного виховання</t>
  </si>
  <si>
    <t>нормативність ведення Журналу антропометрії</t>
  </si>
  <si>
    <t>нормативність ведення Картка-розкладу страви для картотеки страв</t>
  </si>
  <si>
    <t>нормативність ведення Зошиту обліку відходів</t>
  </si>
  <si>
    <t xml:space="preserve">здійснення контрольно-аналітичної діяльності, стан роботи щодо узагальнення матеріалів за підсумками вивчення (наказ, довідка, аналітичні матеріали, порівняльні таблиці тощо) </t>
  </si>
  <si>
    <t>відповідність контроль-аналітичної діяльності до запланованих заходів у річному та перспективному планах</t>
  </si>
  <si>
    <t>періодичність вивчення стану організації харчування дітей, різноманітність видів та форм контролю (Діловий щоденник контролю завідувача, перспективні плани. Дотримання нормативних вимог до складання документу). Контроль з боку органів санепідемстанції (виконання приписів)</t>
  </si>
  <si>
    <t xml:space="preserve">відповідність утримання санітарно-гігієнічним вимогам: харчоблоку, комори, овочесховища, відсіку групових кімнат (проведення та якість генерального та поточного прибирання всіх приміщень відповідно до діючих санітарних норм. Забезпеченість, маркіровка та використання по призначенню прибирального інвентарю) </t>
  </si>
  <si>
    <t>плановість проведення лабораторного контролю за організацією харчування: калорійність, бактеріологічні забруднення готових страв, змиви. Своєчасне виконання пропозицій установ СЕС</t>
  </si>
  <si>
    <t>наявність та дотримання інструкції щодо правил миття посуду, технологічного та холодильного обладнання, інвентарю. Забезпеченість миючими та дезінфікуючими засобами, дотримання правил їх зберігання</t>
  </si>
  <si>
    <t>наявність повного набору виробничих приміщень харчоблоку</t>
  </si>
  <si>
    <t>створення умов для зберігання продуктів харчування (вентиляція, полиці, освітлення0</t>
  </si>
  <si>
    <t xml:space="preserve">забезпеченість та справність теплового, технологічного та холодильного обладнання. Забезпеченість столами, дошками, ножами, їх маркіровка, використання по призначенню </t>
  </si>
  <si>
    <t>стан забезпечення необхідним кухонним та столовим посудом на харчоблоці та у групах, що виготовлений із матеріалів, дозволених МОН України</t>
  </si>
  <si>
    <t>забезпечення безперебійним водопостачанням і вентиляцією</t>
  </si>
  <si>
    <t>стан роботи щодо організації дієтичного харчування: наявність списків дітей, відповідне меню та дотримання технології приготування страв</t>
  </si>
  <si>
    <t xml:space="preserve">нормативність проведення С-вітамінізації, дотримання умов і термінів відбору добових проб раціону і відповідність їх меню-розкладці  </t>
  </si>
  <si>
    <t xml:space="preserve">нормативність дотримання грошових та натуральних норм харчування </t>
  </si>
  <si>
    <t>стан організації питного режиму: наявність окремого посуду та умов його зберігання, дотримання терміну використання питної води</t>
  </si>
  <si>
    <t xml:space="preserve">стан роботи щодо організації різноманітного та збалансованого харчування </t>
  </si>
  <si>
    <t>стан дотримання технології приготування страв, нормативного порціювання страв</t>
  </si>
  <si>
    <t xml:space="preserve">  стан роботи щодо дотримання режиму харчування (меню-вивіска, графік видачі їжі затверджені в установленому порядку)</t>
  </si>
  <si>
    <t>стан роботи щодо навчання та виховання культури харчування дітей (організація чергування дітей, сервірування столу, виховання культурно-нігієнічних навичок)</t>
  </si>
  <si>
    <t>забезпеченість харчовими продуктами та наявність на них відповідних документів</t>
  </si>
  <si>
    <t xml:space="preserve">стан роботи щодо проведення занять медичним персоналом з працівниками із питань гігієни харчування </t>
  </si>
  <si>
    <t>стан організації санітарно-освітньої роботи серед персоналу та батьків</t>
  </si>
  <si>
    <t>стан організації проведення навчання і перевірки знань з питань організації харчування дітей у працівників ДНЗ</t>
  </si>
  <si>
    <t xml:space="preserve"> Стан забезпечення нормативно-правовими та розпорядчими документами з питань організації харчування дітей в ДНЗ</t>
  </si>
  <si>
    <t>Своєчасніть  проходження медичних оглядів працівниками харчоблоку</t>
  </si>
  <si>
    <t>Стан роботи з постачальниками продуктів харчування та продовольчої сировини</t>
  </si>
  <si>
    <t>Дотримання нормативних вимог харчування дітей пільгового контингенту</t>
  </si>
  <si>
    <t xml:space="preserve">Забезпечення системності контролю за організацією харчування </t>
  </si>
  <si>
    <t>Узагальнення матеріалів за наслідками контролю (накази, довідки тощо)</t>
  </si>
  <si>
    <t>Стан кадрового забезпечення харчоблоків, наявність вакансій</t>
  </si>
  <si>
    <t>Стан роботи щодо підвищення кваліфікації кухарів та медпрацівників</t>
  </si>
  <si>
    <t xml:space="preserve">Виконання грошових та натуральних норм харчування </t>
  </si>
  <si>
    <t xml:space="preserve">Якість проведення моніторінгу щодо матеріально-технічної бази харчоблоків </t>
  </si>
  <si>
    <t>Організація медичної роботи</t>
  </si>
  <si>
    <t>Стан кадрового забезпечення медичного обслуговування дітей</t>
  </si>
  <si>
    <t>Своєчасність і повнота доведення інформації з даних питань до працівників та керівників ДНЗ (протоколи нарад та зборів, накази тощо)</t>
  </si>
  <si>
    <t>Дотримання нормативних вимог до складання документу</t>
  </si>
  <si>
    <t xml:space="preserve"> Здійснення моніторингу здоров’я вихованців</t>
  </si>
  <si>
    <t>Стан роботи щодо підвищення кваліфікації медичного персоналу ДНЗ</t>
  </si>
  <si>
    <t xml:space="preserve">Забезпечення системності контролю за організацією медичної роботи </t>
  </si>
  <si>
    <t xml:space="preserve">Якість проведення моніторінгу щодо оснащення медичного кабінету ДНЗ, лікарськими засобами та виробами медичного призначення </t>
  </si>
  <si>
    <t>Своєчасність проходження профілактичних медичних оглядів працівниками ДНЗ</t>
  </si>
  <si>
    <t>Забезпечення ДНЗ кваліфікованими медичними працівниками</t>
  </si>
  <si>
    <t>Створення системи збору, збереження і опрацювання внутрішньої інформації про роботу ДНЗ району</t>
  </si>
  <si>
    <t>Своєчасність і повнота доведення інформації з питань дошкільної освіти (наявність протоколів нарад, зборів, наказів та їх змістовність, інформація на сайті тощо)</t>
  </si>
  <si>
    <t>IV</t>
  </si>
  <si>
    <t>VI</t>
  </si>
  <si>
    <t>VII</t>
  </si>
  <si>
    <t>Нормативно-правове забезпечення діяльності ПС</t>
  </si>
  <si>
    <t>Рівень розвитку ПС</t>
  </si>
  <si>
    <t>Інформаційне забезпечення діяльності ПС</t>
  </si>
  <si>
    <t>Здійснення контролю за  дотримання санітарно-гігієнічних норм щодо організації навчального процесу  у загальноосвітніх навчальних закладах.</t>
  </si>
  <si>
    <t>Здійснення контролю за проведенням профілактичних медичних оглядів та аналізом стану здоров’я учнів.</t>
  </si>
  <si>
    <t>Здійснення контролю за проведенням профілактичних поглиблених  медичних оглядів та аналізом стану здоров’я учнів.</t>
  </si>
  <si>
    <t>Здійснення контролю за проведенням профілактичних   медичних оглядів та аналізом стану здоров’я працівників шкіл.</t>
  </si>
  <si>
    <t>Здійснення контролю за  станом медичного обслуговування, пофілактики різних видів захворювань, дотримання санітарного законодавства у ЗНЗ району.</t>
  </si>
  <si>
    <t>Своєчасність і повнота доведення інформації з питань медичного обслуговування учнів та обстеження працівників, профілактики різних видів захворювання, санітарної та гігієнічної  освіти (наявність протоколів нарад, колегій,  зборів, наказів  та їх змістовність, інформація на сайті тощо).</t>
  </si>
  <si>
    <t>Створення системи забезпечення управління  зовнішньою інформацією, її повнота.</t>
  </si>
  <si>
    <t>Наявність управлінського циклу (аналіз і прогноз, організація виконання, контроль, коригування).</t>
  </si>
  <si>
    <t>Рівень контролю за виконанням прийнятих рішень, наданих доручень</t>
  </si>
  <si>
    <t>Забезпечення медичного обслуговування</t>
  </si>
  <si>
    <t xml:space="preserve"> Організація  роботи  щодо забезпечення  медичного обслуговування  учнів </t>
  </si>
  <si>
    <t>Здійснення контролю за кадровим забезпеченням шкіл медичними працівниками</t>
  </si>
  <si>
    <t>Стан роботи управління освіти та керівників ЗНЗ щодо покращення стану  медичного обслуговування учнів, оновлення та  дооснащення медкабінетів шкіл</t>
  </si>
  <si>
    <t>вивчення стану управлінської діяльності управління освіти адміністрації району щодо організації харчування учнів</t>
  </si>
  <si>
    <t xml:space="preserve">Врахування нормативно-правових вимог щодо організації  харчуванняучнів. </t>
  </si>
  <si>
    <t>Стан виконання заходів міської програми «Дитяче харчування» на 2012-2015 роки»   та програми «Шкільне харчування» (за термін дії).</t>
  </si>
  <si>
    <t xml:space="preserve">Стан організації роботи   щодо забезпечення  учнів гарячим харчуванням, безкоштовним харчуванням учнів 1-4 - х класів, першокласників молоком, учнів пільгових категорій. </t>
  </si>
  <si>
    <t>Планування роботи щодо організації харчування учнів  (включення питання для розгляду на  нарадах, колегіях,  зборах; видання наказів;  розміщення інформації на сайті УО тощо).</t>
  </si>
  <si>
    <t>Відбиття роботи  щодо створення необхідних матеріально-технічних умов для організації харчування учнів, оновлення технологічного обладнання.</t>
  </si>
  <si>
    <t>Зазначення відповідальних, наявність позначок про виконання.</t>
  </si>
  <si>
    <t>Створення системи контролю та аналізу щодо організації  харчування учнів</t>
  </si>
  <si>
    <t>Забезпечення  контролю за  дотриманням єдиних вимог щодо організації харчування  учнів у загальноосвітніх навчальних закладах.</t>
  </si>
  <si>
    <t>Своєчасність і повнота доведення інформації з питання експертизи (наявність протоколів нарад, колегій,  зборів, наказів  та їх змістовність, інформація на сайті тощо).</t>
  </si>
  <si>
    <t>Дотримання нормативних вимог щодо організації харчування дітей пільгового контингенту.</t>
  </si>
  <si>
    <t>Стан роботи зі звітною інформацією про стан організації харчування учнів ЗНЗ (правильність ведення обліку, своєчасність надання).</t>
  </si>
  <si>
    <t xml:space="preserve">Забезпечення системності контролю за станом організації харчування учнів.  </t>
  </si>
  <si>
    <t>Узагальнення матеріалів за наслідками різних видів контролю (накази, довідки тощо).</t>
  </si>
  <si>
    <t xml:space="preserve">  Сформованість матеріалів зворотної інформації загальноосвітніх навчальних закладів щодо  організації харчування учнів.</t>
  </si>
  <si>
    <t xml:space="preserve">Стан роботи управління освіти та керівників ЗНЗ щодо  підтримки у належному стані та оновленні технологічного та холодильного обладнання харчоблоків  загальноосвітніх навчальних закладів </t>
  </si>
  <si>
    <t>Протокол 
вивчення стану управлінської діяльності щодо нормативності ведення ділової документації 
у КЗ "ДНЗ №"</t>
  </si>
  <si>
    <r>
      <t xml:space="preserve">Документи </t>
    </r>
    <r>
      <rPr>
        <sz val="13"/>
        <color indexed="8"/>
        <rFont val="Times New Roman"/>
        <family val="1"/>
        <charset val="204"/>
      </rPr>
      <t>поаркушно пронумеровані, прошнуровані, підписані керівником, скріплені печаткою</t>
    </r>
  </si>
  <si>
    <t>Нормативність ведення приймально-здавальних актів з усіма додатками, складені в разі зміни керівника ДНЗ, книга прийому та передачі справ при зміні керівника ДНЗ.</t>
  </si>
  <si>
    <t xml:space="preserve">Наявність та зберігання ділової документації відповідно до наказу «Про затвердження номенклатури справ». Нормативність визначення відповідального за зміст, якість підготовки та оформлення на належному рівні документів та за ведення діловодства у структурних підрозділах </t>
  </si>
  <si>
    <t>Наявність та зберігання відповідних матеріалів відповідно до нормативних вимог</t>
  </si>
  <si>
    <t>Упорядкованість наявних атестаційних матеріалів (перелік матеріалів, прошиті, скріплені печаткою); накази про організацію проведення та підсумок атестації; самоаналіз; витяги з протоколів засідання педради, на яких оприлюднено результати самоаналізу та результати атестації; матеріали роботи районної (або обласної) експертної комісії; наявність свідоцтва (для атестованих до 2012 р. - висновку РЕР) про атестацію; оголошення про атестацію закладу; заходи щодо усунення виявлених недоліків; довідка про роботу щодо усунення виявлених недоліків)</t>
  </si>
  <si>
    <t>Нормативність ведення річного плану роботи  ДНЗ</t>
  </si>
  <si>
    <t xml:space="preserve">Затвердження в установленому порядку. Наявність позначок про виконання і відміток про зберігання матеріалів згідно з номенклатурою справ </t>
  </si>
  <si>
    <t>Дієвість і реальність запланованих заходів, їх спрямованість на розвиток ДНЗ</t>
  </si>
  <si>
    <t>Наявність та глибина аналізу стану навчально-виховного процесу за минулі навчальні роки</t>
  </si>
  <si>
    <t xml:space="preserve">Установча документація ДНЗ </t>
  </si>
  <si>
    <t xml:space="preserve">Юридичне оформлення Статуту відповідно до п.1 ст.13 Закону України «Про дошкільну освіту» </t>
  </si>
  <si>
    <t>Відповідність статутних положень у частині статусу ДНЗ</t>
  </si>
  <si>
    <t xml:space="preserve">Нормативність ведення документів щодо охоплення дітей дошкільною освітою </t>
  </si>
  <si>
    <t>Нормативність оформлення особових справ вихованців з документами, що подаються при прийманні дітей в ДНЗ їх упорядкованість  та відповідність кількості вихованців за мережею (списком)</t>
  </si>
  <si>
    <t>Нормативність ведення журналів обліку щоденного відвідування груп дітьми</t>
  </si>
  <si>
    <t>Нормативність ведення документів про облік дітей від народження до 6 років згідно з територією обслуговування</t>
  </si>
  <si>
    <t xml:space="preserve">Нормативність ведення журналу реєстрації прийому відвідувачів завідувачем ДНЗ у частині зарахування дітей до ДНЗ  </t>
  </si>
  <si>
    <t>Нормативність ведення відповідних наказів (щодо руху дітей,  затвердження мережі тощо)</t>
  </si>
  <si>
    <t>Нормативність заповнення статистичних звітів (форма №85-к)  у частинах: чисельність дітей, наявність груп і місць, відвідування дітьми ДНЗ у звітньому році</t>
  </si>
  <si>
    <t>Нормативність ведення журналу прибуття (вибуття) дітей та Книги відомостей про дітей та їхніх батьків</t>
  </si>
  <si>
    <t xml:space="preserve">Наявність та змістовність матеріалів щорічного звітування керівника закладу та аналітичної частині річного плану у частині охоплення дітей дошкільною освітою </t>
  </si>
  <si>
    <t xml:space="preserve">Нормативність ведення обов’язкової документаці </t>
  </si>
  <si>
    <t>Нормативність ведення контрольно-візитаційної книги</t>
  </si>
  <si>
    <t>Нормативність ведення книги протоколів засідань педагогічної ради ДНЗ</t>
  </si>
  <si>
    <t>Наявність  та змістовність відповідних матеріалів до проведення педагогічної ради ДНЗ</t>
  </si>
  <si>
    <t>Нормативність ведення книги реєстрації протоколів засідань педагогічної ради ДНЗ</t>
  </si>
  <si>
    <t>Нормативність ведення протоколів виробничих нарад</t>
  </si>
  <si>
    <t>Наявність та змістовність матеріалів до проведення виробничих нарад</t>
  </si>
  <si>
    <t>Нормативність ведення книги реєстрації протоколів виробничих нарад</t>
  </si>
  <si>
    <t>Нормативність ведення протоколів оперативних нарад при керівництві ДНЗ</t>
  </si>
  <si>
    <t>Журнал реєстрації протоколів оперативних нарад при керівництві ДНЗ</t>
  </si>
  <si>
    <t>Нормативність ведення карток і журналів реєстрації телеграм і телефонограм, телексів, факсів</t>
  </si>
  <si>
    <t>Нормативність ведення книги обліку посібників, ігрового, дидактичного обладнання тощо</t>
  </si>
  <si>
    <t>Наявність цих матеріалів відповідно до записів у книзі обліку посібників, ігрового, дидактичного обладнання тощо</t>
  </si>
  <si>
    <t>3.3.Наявність наказу "Про початок нового навчального року"</t>
  </si>
  <si>
    <t>3.4. Змістова спрямованість (відповідність річному плануванню)</t>
  </si>
  <si>
    <t>3.5. Рівень забезпечення диференційованого підходу до організації методичної роботи з різними категоріями педагогічних працівників</t>
  </si>
  <si>
    <t>Удосконалення методичної роботи на основі вивчення та аналізу стану навчально-виховного процесу</t>
  </si>
  <si>
    <t>4.1.Наявність критеріїв вивчення</t>
  </si>
  <si>
    <t>4.2.Висвітлення результатів та їх урахування при плануванні та здійсненні науково-методичної роботи</t>
  </si>
  <si>
    <t xml:space="preserve">4.3.Наявність наказів про проведення тематичних  та комплексних вивчень. </t>
  </si>
  <si>
    <t>4.4. Наявність матеріалів моніторингових спостережень</t>
  </si>
  <si>
    <t xml:space="preserve">4.5.Наявність наказів про підсумки проведення тематичних  та комплексних вивчень. </t>
  </si>
  <si>
    <t>Інноваційна діяльність педагогів</t>
  </si>
  <si>
    <t>5.1.Наявність теоретико-методологічне забезпечення інноваційної діяльності, їх облік і систематизація;</t>
  </si>
  <si>
    <t>5.2.Наявність відстеження результатів щодо використання інноваційної діяльності</t>
  </si>
  <si>
    <t>5.3. Наявність матеріалів щодо роботи експериментальних педагогічних майданчиків</t>
  </si>
  <si>
    <t>5.4.Урахування потреб і можливостей педпрацівників у здійсненні інноваційної діяльності</t>
  </si>
  <si>
    <t>5.5.Обговорення підсумків інноваційної діяльності на засіданнях, нарадах тощо.</t>
  </si>
  <si>
    <t>Методичний кабінет (куточок)</t>
  </si>
  <si>
    <t>6.1.Наявність методичного кабінету (куточку)</t>
  </si>
  <si>
    <t>6.2.Відповідність оформлення та наповнення щодо Положення про методичний кабінет</t>
  </si>
  <si>
    <t>6.3.Наявність каталогів, картотек щодо забезпеченістю методичною, фаховою, педагогічною, психологічною літературою та її систематизація.</t>
  </si>
  <si>
    <t>Організація безперервного удосконалення фахової освіти та кваліфікації педагогічних працівників</t>
  </si>
  <si>
    <t>7.1. Наявність матеріалів щодо організації курсової підготовки педагогічних працівників</t>
  </si>
  <si>
    <t>7.2.Наявність куточка «Атестація», з відповідними матеріалами.</t>
  </si>
  <si>
    <t>7.3.Наявність та якість атестаційних матеріалів (графіка атестації педпрацівників, наказів, протоколів засідань атестаційної комісії)</t>
  </si>
  <si>
    <t>7.4.Наявність вивчення у вихователів, які атестуються, стану проведення занять, організації навчально-виховної роботи, керівництва іграми дітей; висновки і пропозиції членів атестаційної комісії</t>
  </si>
  <si>
    <t>7.5.Наявність в особових справах посвідчень про проходження курсового підвищення кваліфікації та атестаційних листів</t>
  </si>
  <si>
    <t>7.6.Наявність матеріалів щодо вивчення потреб педагогічних кадрів у підвищенні їхньої компетентності</t>
  </si>
  <si>
    <t xml:space="preserve">7.7.Використання у системі підвищення педагогічної майстерності педагогів різноманітних форм і методів науково-методичної роботи:
- традиційних форм організації навчання педагогів (педагогічні ігри, моделювання педагогічних ситуацій, конкурси, методичні «мости» тощо);
- нестандартних форм організації навчання педагогів (методичні вернісажі, круглі столи, методичні посиденьки, мозкові атаки тощо).
Наявність відповідних матеріалів.
</t>
  </si>
  <si>
    <t>7.8.Наявність матеріалів щодо роботи творчих груп</t>
  </si>
  <si>
    <t>7.9.Використання у системі творчої співпраці з науковцями та ВНЗ; творчого потенціалу вихователів, які мають педагогічні звання та результатів курсового підвищення кваліфікації, участі у майстер-класах, авторських семінарах тощо.</t>
  </si>
  <si>
    <t xml:space="preserve">Результативність методичної роботи </t>
  </si>
  <si>
    <t>8.1.Результативність участі у масових педагогічних заходах різних рівнів:
- ярмарках педагогічних ідей;
- конкурсах педагогічної майстерності «Вихователь року».</t>
  </si>
  <si>
    <t>8.2.Наявність матеріалів щодо виявлення, узагальненн та розповсюдження передового педагогічного досвіду</t>
  </si>
  <si>
    <t>8.3.Наявність друкованої продукції педагогів</t>
  </si>
  <si>
    <t>Організація навчально-виховного процесу в різних вікових групах</t>
  </si>
  <si>
    <t>9.1.Наявність затвердженого режиму дня, розкладу організованної зайнятості дітей з врахуванням віку дітей та вимог Базової програми</t>
  </si>
  <si>
    <t>9.2.Рівень створення умов у дошкільному закладі для успішного розв’язання завдань розвитку, навчання та виховання дітей з різних розділів Базової програми розвитку дитини дошкільного віку «Я у Світі»</t>
  </si>
  <si>
    <t>9.3.Наявність затверджених календарних та перспективних планів вихователів відповідно до нормативних вимог.</t>
  </si>
  <si>
    <t>9.4.Наявність та стан методичних посібників, роздаткового та демонстраційного матеріалів щодо вимог Базової програми розвитку дитини дошкільноговіку.</t>
  </si>
  <si>
    <t>9.5.Наявність моніторингу щодо рівня розвитку дітей, визначення  їх компетентності  у різних сферах життєдіяльності відповідно до вимог Базової програми  «Я у Світі»</t>
  </si>
  <si>
    <t xml:space="preserve">Забезпечення наступності у роботі ДНЗ і школи </t>
  </si>
  <si>
    <t>10.1.Наявність і реалізація:
- спільного плану заходів (роботи) щодо дотримання наступності в освіті;
- спільних методичних заходів.</t>
  </si>
  <si>
    <t xml:space="preserve">Спільна діяльність ДНЗ та сім’ї з питань навчання та виховання </t>
  </si>
  <si>
    <t>11.1.Наявність матеріалів щодо організації різних форм роботи з батьками, які використовуються у закладі.</t>
  </si>
  <si>
    <t>11.2.Наявність відображення зазначених питань у протоколах батьківських зборів.</t>
  </si>
  <si>
    <t>Рівень організації методичної 
роботи ДНЗ</t>
  </si>
  <si>
    <t xml:space="preserve">Організація інноваційної діяльності педагогічних працівників </t>
  </si>
  <si>
    <t>5.1. Здійснення обліку та систематизація інновацій</t>
  </si>
  <si>
    <t>5.2. Здійснення пропаганди інноваційного пошуку</t>
  </si>
  <si>
    <t>5.3. Здійснення діагностики професійної компетентності та здатності до інноваційної діяльності</t>
  </si>
  <si>
    <t>5.4. Рівень теоретико-методологічного забезпечення інноваційної діяльності вчителів</t>
  </si>
  <si>
    <t>5.5. Наявність матеріалів щодо роботи експериментальних педагогічних майданчиків</t>
  </si>
  <si>
    <t>5.6. Наявність матеріалів з апробації та впровадження в практику педагогічного досвіду</t>
  </si>
  <si>
    <t>5.7. Наявність матеріалів з апробації навчально-методичної літератури</t>
  </si>
  <si>
    <t>5.8. Наявність матеріалів з апробації та впровадження інноваційних освітніх технологій і досягнень науки</t>
  </si>
  <si>
    <t>5.9. Здійснення навчально-методичного консультування педагогічних і керівних працівників освіти району</t>
  </si>
  <si>
    <t>Календарне та поурочне планування вчителів,що викладають предмети українською мовою</t>
  </si>
  <si>
    <t>Удосконалення та поширення педагогічного досвіду</t>
  </si>
  <si>
    <t>Наявність аналізу стану забезпечення та потреб в педагогах, що викладають предмети українською мовою</t>
  </si>
  <si>
    <t>Проведення заходів, що вживаються з метою підготовки вчителів для викладання предметів українською мовою, а також на допомогу вчителям в  оволодінні українською мовою</t>
  </si>
  <si>
    <t>Узагальнення та поширення досвіду роботи досвічених педагогів</t>
  </si>
  <si>
    <t>Відкриття педмайстерень</t>
  </si>
  <si>
    <t>Стан роботи щодо проведення курсової підготовки та перепідготовки вчителів</t>
  </si>
  <si>
    <t>Забезпечення функціонування постійно діючого семінару для працівників школи «Удосконалення майстерності володіння українською мовою» тощо</t>
  </si>
  <si>
    <t>Організаційно-методична робота</t>
  </si>
  <si>
    <t>Аналіз результатів навчальних досягнень учнів з базових дисциплін, що викладаються українською мовою</t>
  </si>
  <si>
    <t>Результативність участі вчителів, що викладають базові дисципліни українською мовою у виставці-ярмарку педагогічних ідей, результативність</t>
  </si>
  <si>
    <t xml:space="preserve">Забезпеченість підготовки випускників ЗНЗ (11 кл) з навчанням російською мовою до ЗНО   </t>
  </si>
  <si>
    <t>Стан викладання базових дисциплін українською мовою: української мови та літератури, історії України, географії України, Харківщинознавства, фізичної культури, Захисту Вітчизни: рівень володіння вчителем та учнями українською мовою (використання  мовних засобів, наукової термінології, дотримання лексичних, граматичних та стилістичних норм, збагаченням україномовного словникового запасу учнів)</t>
  </si>
  <si>
    <t>Рівень організації роботи щодо співпраці із просвітницькими організаціями, національно-культурними товариствами, фахівцями української словесності вищих навчальних закладів тощо</t>
  </si>
  <si>
    <t>Аналіз стану забезпеченості закладів освіти україномовними підручниками, нормативною, методичною та додатковою літературою (висновки, рекомендації, їх виконання); відсоток забезпечення   україномовними підручниками</t>
  </si>
  <si>
    <t xml:space="preserve">Оформлення інтер’єру  з використанням
Державної символіки, українських народних мотивів
</t>
  </si>
  <si>
    <t>Врахування у роботі  рекомендацій   листа   МОН   України   від 25.02.2004 №1/9-86 „ Про посилення уваги до використання державної символіки…</t>
  </si>
  <si>
    <t>Наявність у класних кабінетах   куточків  державної символіки</t>
  </si>
  <si>
    <t>Наявність у класних кабінетах  інформаційних куточків щодо підготовки учнів до ЗНЗ</t>
  </si>
  <si>
    <t>Робота з обдарованими учнями</t>
  </si>
  <si>
    <t>Результативність участі учнів в олімпіадах, конкурсах , турнірах та МАН</t>
  </si>
  <si>
    <t>Результативність участі учнів у Міжнародному конкурсі з української мови ім. П.Яцика</t>
  </si>
  <si>
    <t>Результативність участі учнів у Всеукраїнському конкурсі учнівської творчості, присвяченому Шевченківським дням</t>
  </si>
  <si>
    <t>Результативність участі учнів у обласному конкурсі ораторського мистецтва, присвяченого Дню української писемності та мови</t>
  </si>
  <si>
    <t>Результативність участі учнів у міському конкурсі знавців української мови</t>
  </si>
  <si>
    <t>Робота з батьками</t>
  </si>
  <si>
    <t>Стан планування роботи з батьками</t>
  </si>
  <si>
    <t>Різноманітність форм роботи, що застосовуються</t>
  </si>
  <si>
    <t xml:space="preserve">Позакласна робота
</t>
  </si>
  <si>
    <t xml:space="preserve">Стан планування роботи </t>
  </si>
  <si>
    <t>Протокол 
вивчення стану управлінської діяльності щодо дотримання мовного законодавства  у дошкільних навчальних закладах у КЗ "ДНЗ № _____"</t>
  </si>
  <si>
    <t xml:space="preserve">Інформаційно-нормативне забезпечення  управлінської діяльності щодо дотримання мовного законодавства </t>
  </si>
  <si>
    <t>Відповідність статутних положень у частині "Мова навчання та виховання дітей"</t>
  </si>
  <si>
    <t>Планово-прогностична діяльність щодо дотримання мовного законодавства</t>
  </si>
  <si>
    <t>Наявність заходів щодо дотримання мовного законодавства  у річному плані роботи та звіти про їх виконання</t>
  </si>
  <si>
    <t xml:space="preserve">Наявність аналізу стану роботи  щодо розвитку та впровадження державної мови в навчально-виховний процес </t>
  </si>
  <si>
    <t>Наявність матеріалів щодо контрольно-аналітичної діяльності завідувача, вихователя-методиста</t>
  </si>
  <si>
    <t xml:space="preserve">Наявність матеріалів розгляду питань з мовного законодавства на  нарадах, педагогічних радах тощо </t>
  </si>
  <si>
    <t>Ведення ділової документації в ДНЗ щодо дотримання мовного законодавства</t>
  </si>
  <si>
    <t>Стан дотримання нормативних вимог до укладання та оформлення ділової документації</t>
  </si>
  <si>
    <t>Затвердження документації в установленому порядку</t>
  </si>
  <si>
    <t>Дотримання вимог ведення ділової документації державною мовою</t>
  </si>
  <si>
    <t xml:space="preserve">Організаціно-методична робота щодо дотримання мовного законодавства </t>
  </si>
  <si>
    <t>Наявність матеріалів консультацій, семінарів, практикумів щодо удосконалення навичок  володіння українською мовою членами педколективу</t>
  </si>
  <si>
    <t xml:space="preserve">Результативність участі  педагогічних працівників у педагогічних ярмарках, виставках, професійних конкурсах </t>
  </si>
  <si>
    <t>Стан програмно-методичного забезпечення методичного кабінету відповідно до мови навчання та виховання в ДНЗ</t>
  </si>
  <si>
    <t>Урахування рівня володіння українською мовою при атестації педагогічних працівників (діагностування)</t>
  </si>
  <si>
    <t>Відсоток вихователів, які пройшли спецкурси мовного спрямування (за три роки)</t>
  </si>
  <si>
    <t>Організація навчально-виховного процесу щодо дотримання мовного законодавства</t>
  </si>
  <si>
    <t>Відповідність розподілу часу навчально-виховної зайнятості дітей відповідно до програми розвитку дітей у частині дотримання мовного режиму</t>
  </si>
  <si>
    <t>Оформлення інтер’єрів із використанням державної символіки та українських народних мотивів</t>
  </si>
  <si>
    <t>Інформаційна наповнюваність стендів та куточків</t>
  </si>
  <si>
    <t>Наявність зразків навчально-наочних, ігрових та дидактичних матеріалів, посібників відповідно до мови навчання та виховання в групах</t>
  </si>
  <si>
    <t>Наявність матеріалів діагностування вихованців дошкільного віку відповідно до освітньої лінії "Мовлення дитини" (за три роки)</t>
  </si>
  <si>
    <t>Наступність у роботі дошкільного та загальноосвітнього навчального закладу  щодо дотримання мовного законодавства</t>
  </si>
  <si>
    <t>Наявність спільних заходів із загальноосвітніми навчальними закладами</t>
  </si>
  <si>
    <t>Організація роботи з батьками щодо дотримання мовного законодавства</t>
  </si>
  <si>
    <t>Наявність матеріалів щодо роботи з батьками (протоколи, сценарії, рекомендації, анкетування)</t>
  </si>
  <si>
    <t>Інформаційно-нормативне забезпечення управлінської діяльності щодо розвитку дошкільної освіти</t>
  </si>
  <si>
    <t>стан забезпечення нормативно-правовими та розпорядчими документами з питань розвитку дошкільної освіти, упорядкування та систематизація документів</t>
  </si>
  <si>
    <t>ВИВЧЕННЯ СТАНУ УПРАВЛІНСЬКОЇ ДІЯЛЬНОСТІ УПРАВЛІННЯ ОСВІТИ АДМІНІСТРАЦЙІЇ РАЙОНУ ХАРКІВСЬКОЇ МІСЬКОЇ РАДИ ЩОДО ПОРЯДКУ ВЕДЕННЯ БУХГАЛТЕРСЬКОГО ОБЛІКУ ПРИ ЗАЛУЧЕННІ ПОЗАБЮДЖЕТНИХ КОШТІВ</t>
  </si>
  <si>
    <t xml:space="preserve">Наявність:
Законів України «Про освіту», «Про загальну середню освіту», «Про бухгалтерський облік та фінансову звітність в Україні», «Про Державний бюджет України», «Про благодійництво та благодійні організації»; Бюджетного кодексу України від 08.07.2010 № 2456 - VI, Податкового кодексу України від 02.12.2010 № 2755 - VI, постанов Кабінету Міністрів України від 04.08.2000 №1222 «Про затвердження Порядку отримання благодійних (добровільних) внесків і пожертв від юридичних та фізичних осіб бюджетними установами і закладами освіти, охорони здоров’я, соціального захисту, культури, науки, спорту та фізичного виховання для потреб їх фінансування» зі змінами, від 17.08.1998 №1295 «Про затвердження Порядку розподілу товарів, отриманих як благодійна допомога, та контролю за цільовим розподілом благодійної допомоги у вигляді наданих послуг або виконаних робіт» зі змінами.
</t>
  </si>
  <si>
    <t>Стан ознайомлення працівників  з нормативно-правовими документами, що регулюють залучення та використання позабюджетних коштів; розгляд питань на нарадах, педрадах</t>
  </si>
  <si>
    <t>Підстави для надання платних послуг</t>
  </si>
  <si>
    <t>Наявність статутних положень</t>
  </si>
  <si>
    <t>Наявність заяв батьків</t>
  </si>
  <si>
    <t>Наявність розпорядчих документів вищої інстанції</t>
  </si>
  <si>
    <t>Наявність розпорядчих документиів навчального закладу</t>
  </si>
  <si>
    <t>Відповідність підстав діючим нормативам</t>
  </si>
  <si>
    <t>Наявність розкладу занять, його відповідність вимогам</t>
  </si>
  <si>
    <t>Наявність журналів обліку занять</t>
  </si>
  <si>
    <t>Наявність науково-методичного забезпечення</t>
  </si>
  <si>
    <t>Наявність необхідної матеріально-технічної бази</t>
  </si>
  <si>
    <t>Система оплати послуг</t>
  </si>
  <si>
    <t>Наявність калькуляції  на кожну додаткову освітню послугу</t>
  </si>
  <si>
    <t>Відповідність цін  на послуги діючим нормативам</t>
  </si>
  <si>
    <r>
      <t>Стан дотримання вимог нормативних актів при організації розрахунку зі</t>
    </r>
    <r>
      <rPr>
        <sz val="14"/>
        <color indexed="8"/>
        <rFont val="Times New Roman"/>
        <family val="1"/>
        <charset val="204"/>
      </rPr>
      <t xml:space="preserve"> </t>
    </r>
    <r>
      <rPr>
        <sz val="14"/>
        <color indexed="8"/>
        <rFont val="Times New Roman"/>
        <family val="1"/>
        <charset val="204"/>
      </rPr>
      <t>споживачами послуг</t>
    </r>
  </si>
  <si>
    <t>Нормативність порядку  обліку коштів, отриманих за надання послуг</t>
  </si>
  <si>
    <t xml:space="preserve">10.6. Здійснення методичного супроводу роботи працівників психологічної служби, організація підвищення фахової компетентності спеціалістів </t>
  </si>
  <si>
    <t>XI</t>
  </si>
  <si>
    <t xml:space="preserve">11.1. Рівень ефективності форм і методів науково-методичної роботи:
- засідання методичної ради;
- засідання методичних об’єднань;
- школа педмайстерності та молодого вчителя;
- творчі групи, інші форми та методи
</t>
  </si>
  <si>
    <t xml:space="preserve">11.3. Наявність матеріалів щодо виявлення, узагальнення і розповсюдження ППД:
- оформлення досвіду;
- виступи на міських обласних семінарах;
- залучення до роботи з молодими учителями
</t>
  </si>
  <si>
    <t>11.4. Рівень участі у масових педагогічних заходах різних рівнів:
- ярмарках педагогічних ідей;
- районних педагогічних заходах;
- педагогічних виставках, творчих звітах, конкурсах, науково-практичних конференціях тощо;
- конкурсах професійної майстерності «Учитель року»</t>
  </si>
  <si>
    <t>Рівень організації методичної роботи районним методичним центром</t>
  </si>
  <si>
    <t>ВИВЧЕННЯ СТАНУ РОБОТИ З ПИТАНЬ ОХОРОНИ ПРАЦІ ТА ПОЖЕЖНОЇ БЕЗПЕКИ В УПРАВЛІННІ ОСВІТИ</t>
  </si>
  <si>
    <t xml:space="preserve">вивчення стану організації літнього відпочинку  дітей у таборі відпочинку з денним перебуванням, створеного на базі загальноосвітнього навчального закладу (для Комплексної перевірки) </t>
  </si>
  <si>
    <t>Напрямки діяльності</t>
  </si>
  <si>
    <t>Вагомість факторів, F</t>
  </si>
  <si>
    <t>Складові діяльності</t>
  </si>
  <si>
    <t>Вагомість складових,  V</t>
  </si>
  <si>
    <t>Ступінь прояву складових, K</t>
  </si>
  <si>
    <t xml:space="preserve"> Інформаційно-нормативне забезпечення управлінської діяльності щодо організації відпочинку у навчальному закладі</t>
  </si>
  <si>
    <t xml:space="preserve"> Стан упорядкування нормативно-розпорядчих документів
</t>
  </si>
  <si>
    <t>Наявність акту комісії про відкриття табору відпочинку на базі навчального закладу</t>
  </si>
  <si>
    <t>Наявність Положення про  табір відпочинку  з денним перебуванням, створеного на базі навчального закладу (затверджене та погоджене в установленому порядку, відповідність нормативним вимогам)</t>
  </si>
  <si>
    <t xml:space="preserve"> Стан роботи щодо своєчасного і повного доведення інформації  до батьків про організацію роботи табору відпочинку на базі навчального закладу </t>
  </si>
  <si>
    <t>Стан роботи щодо організації відпочинку  дітей пільгових  категорій</t>
  </si>
  <si>
    <t>всього</t>
  </si>
  <si>
    <t>Річний план роботи навчального закладу</t>
  </si>
  <si>
    <t>Ґрунтовність аналізу роботи за минулий навчальний рік щодо організації відпочинку та оздоровлення у навчальному закладі</t>
  </si>
  <si>
    <t>Наявність розділу, заходів з питання, врахування нормативно-правових вимог щодо організації відпочинку та оздоровлення у навчальному закладі</t>
  </si>
  <si>
    <t>Накази з організації відпочинку у навчальному закладі</t>
  </si>
  <si>
    <t>Наявність наказу про організацію літнього відпочинку та оздоровлення  учнів навчального закладу (нормативність, своєчасність, врахування дотримання вимог з охорони праці та безпеки життєдіяльності тощо)</t>
  </si>
  <si>
    <t>Нормативність, своєчасність видання наказу про направлення учнів до табору відпочинку, створеного на базі навчального закладу</t>
  </si>
  <si>
    <t>Оптимальність визначення строків; зазначення відповідальних; доведення змісту наказів до відома відповідальних осіб із підписом про ознайомлення</t>
  </si>
  <si>
    <t>Книга протоколів засідань педради навчального закладу</t>
  </si>
  <si>
    <t xml:space="preserve">Стан роботи щодо організації відпочинку та оздоровлення учнів  навчального закладу (конкретність поставлених перед педагогічним колективом завдань щодо організації   відпочинку та оздоровлення учнів, розгляд питання направлення учнів до табору відпочинку) </t>
  </si>
  <si>
    <t xml:space="preserve">Стан роботи щодо організації відпочинку та оздоровлення учнів  навчального закладу ( організації   відпочинку та оздоровлення учнів, розгляд питання направлення дітей пільгових категорій  до табору відпочинку тощо) </t>
  </si>
  <si>
    <t>Здійснення  контролю за виконанням прийнятих рішень</t>
  </si>
  <si>
    <t xml:space="preserve">Організація роботи табору відпочинку
</t>
  </si>
  <si>
    <t>Наявність, змістовність плану роботи табору</t>
  </si>
  <si>
    <t xml:space="preserve">Наявність, змістовність плану роботи вихователів, його відповідність плану роботи табору </t>
  </si>
  <si>
    <t xml:space="preserve">Наявність, змістовність плану виховної роботи табору </t>
  </si>
  <si>
    <t xml:space="preserve">Наявність, змістовність плану спільних заходів з позашкільними навчальними закладами </t>
  </si>
  <si>
    <t>Наявність соціального паспорта та його відповідність  кількості дітей пільгових категорій, охоплених відпочинком у таборі</t>
  </si>
  <si>
    <t>Наявність штатного розкладу та його відповідність  кількості посад та працівників табору</t>
  </si>
  <si>
    <t>Наявність  посадових інструкцій працівників табору відпочинку, правильність їх складання</t>
  </si>
  <si>
    <t>Наявність графіка роботи працівників табору, табеля відвідування табору вихованцями</t>
  </si>
  <si>
    <t>Наявність Режиму роботи табору, нормативність його складення</t>
  </si>
  <si>
    <t>Наявність плану роботи спортзалу, бібліотеки, спортивного майданчика (якщо їх робота передбачена планом роботи табору)</t>
  </si>
  <si>
    <t xml:space="preserve">Накази табору відпочинку
</t>
  </si>
  <si>
    <r>
      <t xml:space="preserve">Нормативність ведення </t>
    </r>
    <r>
      <rPr>
        <i/>
        <sz val="12"/>
        <color indexed="8"/>
        <rFont val="Times New Roman"/>
        <family val="1"/>
        <charset val="204"/>
      </rPr>
      <t>(прошиті, пронумеровані, скріплені печаткою);</t>
    </r>
    <r>
      <rPr>
        <sz val="12"/>
        <color indexed="8"/>
        <rFont val="Times New Roman"/>
        <family val="1"/>
        <charset val="204"/>
      </rPr>
      <t>конкретність поставлених завдань</t>
    </r>
    <r>
      <rPr>
        <i/>
        <sz val="12"/>
        <color indexed="8"/>
        <rFont val="Times New Roman"/>
        <family val="1"/>
        <charset val="204"/>
      </rPr>
      <t>;</t>
    </r>
  </si>
  <si>
    <t>Нормативність, своєчасність видання наказу про зарахування дітей до табору відпочинку,створеного на базі навчального закладу, розподілу обовязків співробітників</t>
  </si>
  <si>
    <t>Наявність наказу про запобігання травматизму, дотримання вимог охорони праці та безпеки життєдіяльності</t>
  </si>
  <si>
    <t>Нормативність, своєчасність видання наказів про виїзд дітей на екскурсії, за межі табору відпочинку</t>
  </si>
  <si>
    <t>Нормативність наказів про відрахування  дітей з табору;</t>
  </si>
  <si>
    <t>Стан ведення книги реєстрації наказів по табору</t>
  </si>
  <si>
    <t xml:space="preserve">Організація харчування дітей у таборі відпочинку
</t>
  </si>
  <si>
    <t>Стан роботи щодо організації харчування вихованців</t>
  </si>
  <si>
    <t xml:space="preserve">Стан роботи щодо організації харчування дітей пільгових категорій </t>
  </si>
  <si>
    <t xml:space="preserve">Стан роботи щодо організації дієтичного харчування  </t>
  </si>
  <si>
    <t>Стан роботи щодо  ведення щоденного обліку  харчування дітей</t>
  </si>
  <si>
    <t>Відповідність обліку  харчування  даним відвідування вихованцями табору та обліку даних про харчування цих дітей у шкільній їдальні</t>
  </si>
  <si>
    <t>Стан роботи щодо організації питного режиму</t>
  </si>
  <si>
    <t>Організація роботи з профілактики дитячого травматизму, охорони праці, охорони життя і здоров`я дітей у таборі відпочинку</t>
  </si>
  <si>
    <t>Стан ведення щоденного обліку  відвідування дітьми табору, наявність інформації про причини їх відсутності</t>
  </si>
  <si>
    <t>Наявність та правильність ведення журналів інстуктажів з охорони праці та безпеки життєдіяльності</t>
  </si>
  <si>
    <t>Забезпеченість наочністю та роздатковим матеріалом щодо правил безпечної поведінки у різних ситуаціях</t>
  </si>
  <si>
    <t>Рівень організації роботи щодо створення умов для безпечного перебування дітей</t>
  </si>
  <si>
    <t>Забезпечення медичного обслуговування у таборі відпочинку</t>
  </si>
  <si>
    <t>Стан забезпеченності медпрацівниками відповідно до нормативних вимог</t>
  </si>
  <si>
    <t>Оптимальність режиму роботи медичних працівників</t>
  </si>
  <si>
    <t>Наявність медичних довідок дітей про стан здоров`я</t>
  </si>
  <si>
    <t xml:space="preserve"> Своєчасність проходження профілактичних медичних оглядів працівниками табору, отримання відповідних дозволів на роботу у таборі відпочинку</t>
  </si>
  <si>
    <t xml:space="preserve"> Стан дотримання Інструкції щодо порядку ведення форми первинного обліку N 1-ОМК «Особова медична книжка»</t>
  </si>
  <si>
    <t>Наявність обов`язкової медичної документації , правильність її ведення</t>
  </si>
  <si>
    <t>Стан роботи щодо профілактики різних видів захворюванності, проведення санітарно-просвітницької роботи</t>
  </si>
  <si>
    <t xml:space="preserve"> Наявність системи контролю за організацією медичного обслуговування у навчальному закладі</t>
  </si>
  <si>
    <t>Стан організації роботи   щодо забезпечення  безкоштовним харчуванням молоком учнів 1-х класів</t>
  </si>
  <si>
    <t>Стан організації роботи   щодо забезпечення  безкоштовним харчуванням учнів 1-4 - х класів</t>
  </si>
  <si>
    <t>Стан організації безкоштовного харчування  учнів пільгового контингенту</t>
  </si>
  <si>
    <t>Стан організації гарячого харчування учнів у навчальному закладі</t>
  </si>
  <si>
    <t>Стан організації контролю за виконанням прийнятих рішень</t>
  </si>
  <si>
    <t>Стан роботи щодо забезпечення безкоштовним харчуванням учнів 1–4 класів</t>
  </si>
  <si>
    <t>Стан роботи щодо забезпечення безкоштовним харчуванням дітей пільгового контингенту.</t>
  </si>
  <si>
    <t>Стан роботи щодо забезпечення дієтичним харчуванням дітей, які його потребують.</t>
  </si>
  <si>
    <t>Стан дотримання санітарно-гігієнічних умов функціонування класних кімнат, де учні 1-х класів отримують молоко.</t>
  </si>
  <si>
    <t xml:space="preserve"> Стан дотримання санітарно-гігієнічних умов функціонування шкільної їдальні (буфета).</t>
  </si>
  <si>
    <t>Стан дотримання санітарно-гігієнічних умов функціонування обідньої зали.</t>
  </si>
  <si>
    <t xml:space="preserve"> Стан дотримання санітарно-гігієнічних умов функціонування куточків для миття рук.</t>
  </si>
  <si>
    <t>Стан роботи щодо здійснення громадського контролю за організацією харчування учнів.</t>
  </si>
  <si>
    <t>Своєчасність та нормативність створення комісії щодо здійснення громадського контролю за організацією харчування учнів</t>
  </si>
  <si>
    <t>Наявність звітів ЗНЗ за навчальний рік про стан викладання предмету та військово-патріотичне виховання</t>
  </si>
  <si>
    <t xml:space="preserve">Наявність інформації про стан організації обліку, зберігання  та ремонту військового майна.  </t>
  </si>
  <si>
    <t>Наявність матеріалів щодо визначення кращого закладу з організіції роботи з допризовною молоддю і військово-патріотичного виховання підростаючого покоління</t>
  </si>
  <si>
    <t>Наявність матеріалів щодо проведення районної військово-спортивної гри "Патріот" (звіти, протоколи, підсумкова таблиця)</t>
  </si>
  <si>
    <t>Наявність аналізу виступу збірної команди району у міській військово-спортивній грі "Патріот"</t>
  </si>
  <si>
    <t xml:space="preserve">Протокол перевірки ЗНЗ з питань організації роботи з допризовної підготовки
</t>
  </si>
  <si>
    <t>Обізнаність адміністрації ЗНЗ з вимогами законодавчих, нормативних, інструктивних матеріалів.</t>
  </si>
  <si>
    <t xml:space="preserve"> Своєчасність і повнота доведення інформації з питань допризовної підготовки до викладача предмету "Захист Вітчизни" та педколективу (наявність протоколів нарад, зборів, наказів та їх змістовність тощо)</t>
  </si>
  <si>
    <t>Наявність наказів по закладу щодо викладання предмету "Захист Вітчизни"</t>
  </si>
  <si>
    <t>Наявність матеріалів щодо стану викладання предмету "Захист Вітчизни"</t>
  </si>
  <si>
    <t xml:space="preserve">Наявність  документів про зв'язок ЗНЗ з районним військкоматом та договору про співпрацю з військовими частинами або відповідними кафедрами ВНЗ  </t>
  </si>
  <si>
    <t>Наявність матеріалів щодо участі старшокласників у військово-спортивній грі "Патріот"</t>
  </si>
  <si>
    <t xml:space="preserve">Стан військово-патрітичного виховання  в школі (шефські зв'язки, місячники оборонно-масової роботи, музеї  БС, пошукова робота тощо) </t>
  </si>
  <si>
    <t>Наявність шкільного  методичного об’єднання (план роботи, протоколи засідань).</t>
  </si>
  <si>
    <t>Стан програмно-методичного забезпечення викладання предмету Захист Вітчизни</t>
  </si>
  <si>
    <t xml:space="preserve">Використання сучасних технічних засобів навчання на уроках </t>
  </si>
  <si>
    <t xml:space="preserve">Стан навчально-матеріальної бази ЗНЗ </t>
  </si>
  <si>
    <t xml:space="preserve">Наявність матеріалів щодо організації роботи гуртків з військово-патріотичного виховання  </t>
  </si>
  <si>
    <t>Укомплектованість педагогічними кадрами. Педагогічне навантаження вчителя предмету "Захист Вітчизни" (книга особового складу педагогічних працівників, наказ про тарифікацію)</t>
  </si>
  <si>
    <t>Стан  документації щодо ведення гурткової роботи  (наявність журналів, тиру, його обладнання,  проведення інструктажів тощо)</t>
  </si>
  <si>
    <t>Наявність матеріалів щодо підвищення кваліфікації та атестації учителя предмету "Захист Вітчизни"</t>
  </si>
  <si>
    <t xml:space="preserve">Стан  контролю за  викладання предмету "Захист Вітчизни". </t>
  </si>
  <si>
    <t xml:space="preserve">Наявність перспективного плану вивчення стану викладання даного предмету </t>
  </si>
  <si>
    <t>Наявність матеріалів щодо вивчення стану викладання предмету адміністрацією закладу</t>
  </si>
  <si>
    <t>Наявність протоколів щодо заслуховування даного питання  на засіданнях педагогічної ради</t>
  </si>
  <si>
    <t xml:space="preserve">Стан котролю за веденням класних журналів у розділі "Захист Вітчизни" </t>
  </si>
  <si>
    <t>Наявність матеріалів щодо проведення свята, присвяченого закінченню вивчення предмету "Захист Вітчизни"</t>
  </si>
  <si>
    <t xml:space="preserve">Наявність аналізу виступу збірниої команди ЗНЗ у районних змаганнях військово-спортивної гри "Патріот" </t>
  </si>
  <si>
    <t xml:space="preserve">Протокол
вивчення стану організації навчально-виховного процесу у позашкільному навчальному закладі _______________________________________________________________________________
</t>
  </si>
  <si>
    <t xml:space="preserve">Інформаційно-нормативне забезпечення </t>
  </si>
  <si>
    <r>
      <t xml:space="preserve">1.1. </t>
    </r>
    <r>
      <rPr>
        <b/>
        <sz val="14"/>
        <rFont val="Times New Roman"/>
        <family val="1"/>
        <charset val="204"/>
      </rPr>
      <t>Своєчасніст</t>
    </r>
    <r>
      <rPr>
        <sz val="14"/>
        <rFont val="Times New Roman"/>
        <family val="1"/>
        <charset val="204"/>
      </rPr>
      <t>ь і повнота доведення інформації з цього питання до учасників навчально-виховного процесу (протоколи нарад та зборів, накази,  зміст сайту тощо). Обізнаність адміністрації ПНЗ з вимогами законодавчих, нормативних, інструктивних документів</t>
    </r>
  </si>
  <si>
    <r>
      <t xml:space="preserve">1.2. </t>
    </r>
    <r>
      <rPr>
        <b/>
        <sz val="14"/>
        <rFont val="Times New Roman"/>
        <family val="1"/>
        <charset val="204"/>
      </rPr>
      <t>Стан</t>
    </r>
    <r>
      <rPr>
        <sz val="14"/>
        <rFont val="Times New Roman"/>
        <family val="1"/>
        <charset val="204"/>
      </rPr>
      <t xml:space="preserve"> забезпечення нормативно-правовими та розпорядчими документами з питань організації навчально-виховного процесу,  упорядкування та систематизація документів</t>
    </r>
  </si>
  <si>
    <t>Нормативність ведення ділової документації ПНЗ</t>
  </si>
  <si>
    <r>
      <t xml:space="preserve">2.1. Наявність статуту та нормативність його затвердження </t>
    </r>
    <r>
      <rPr>
        <sz val="14"/>
        <color indexed="8"/>
        <rFont val="Times New Roman"/>
        <family val="1"/>
        <charset val="204"/>
      </rPr>
      <t/>
    </r>
  </si>
  <si>
    <r>
      <t xml:space="preserve">2.2. Наявність річного плану роботи закладу </t>
    </r>
    <r>
      <rPr>
        <sz val="14"/>
        <color indexed="8"/>
        <rFont val="Times New Roman"/>
        <family val="1"/>
        <charset val="204"/>
      </rPr>
      <t>(нормативність</t>
    </r>
    <r>
      <rPr>
        <b/>
        <sz val="14"/>
        <color indexed="8"/>
        <rFont val="Times New Roman"/>
        <family val="1"/>
        <charset val="204"/>
      </rPr>
      <t xml:space="preserve"> </t>
    </r>
    <r>
      <rPr>
        <sz val="14"/>
        <color indexed="8"/>
        <rFont val="Times New Roman"/>
        <family val="1"/>
        <charset val="204"/>
      </rPr>
      <t>його погодження та затвердження, наявність детального аналізу роботи закладу за минулий навчальний рік та завдання на новий; наявність розділів та відповідність завдань плану Статуту закладу)</t>
    </r>
  </si>
  <si>
    <t>2.3. Нормативність затвердження Правил внутрішнього трудового розпорядку та стан ознайомлення працівників закладу з ними</t>
  </si>
  <si>
    <r>
      <rPr>
        <b/>
        <sz val="14"/>
        <color indexed="8"/>
        <rFont val="Times New Roman"/>
        <family val="1"/>
        <charset val="204"/>
      </rPr>
      <t>2.4. Наявність наказів з основної діяльності:</t>
    </r>
    <r>
      <rPr>
        <sz val="14"/>
        <color indexed="8"/>
        <rFont val="Times New Roman"/>
        <family val="1"/>
        <charset val="204"/>
      </rPr>
      <t xml:space="preserve">
- нормативність оформлення;
- своєчасність видання наказів; 
- наявність підписів про ознайомлення з наказами;
- дотримання терміну зберігання </t>
    </r>
  </si>
  <si>
    <r>
      <rPr>
        <b/>
        <sz val="14"/>
        <color indexed="8"/>
        <rFont val="Times New Roman"/>
        <family val="1"/>
        <charset val="204"/>
      </rPr>
      <t>2.5.</t>
    </r>
    <r>
      <rPr>
        <sz val="14"/>
        <color indexed="8"/>
        <rFont val="Times New Roman"/>
        <family val="1"/>
        <charset val="204"/>
      </rPr>
      <t xml:space="preserve"> </t>
    </r>
    <r>
      <rPr>
        <b/>
        <sz val="14"/>
        <color indexed="8"/>
        <rFont val="Times New Roman"/>
        <family val="1"/>
        <charset val="204"/>
      </rPr>
      <t>Наявність</t>
    </r>
    <r>
      <rPr>
        <sz val="14"/>
        <color indexed="8"/>
        <rFont val="Times New Roman"/>
        <family val="1"/>
        <charset val="204"/>
      </rPr>
      <t xml:space="preserve"> к</t>
    </r>
    <r>
      <rPr>
        <b/>
        <sz val="14"/>
        <color indexed="8"/>
        <rFont val="Times New Roman"/>
        <family val="1"/>
        <charset val="204"/>
      </rPr>
      <t xml:space="preserve">ниги реєстрації наказів з основної діяльності </t>
    </r>
    <r>
      <rPr>
        <sz val="14"/>
        <color indexed="8"/>
        <rFont val="Times New Roman"/>
        <family val="1"/>
        <charset val="204"/>
      </rPr>
      <t xml:space="preserve">
- нормативність ведення;
- відповідність номера наказу номеру у книзі реєстрації;</t>
    </r>
  </si>
  <si>
    <r>
      <rPr>
        <b/>
        <sz val="14"/>
        <color indexed="8"/>
        <rFont val="Times New Roman"/>
        <family val="1"/>
        <charset val="204"/>
      </rPr>
      <t>2.6. Наявність журналу вхідної та вихідної документації:</t>
    </r>
    <r>
      <rPr>
        <sz val="14"/>
        <color indexed="8"/>
        <rFont val="Times New Roman"/>
        <family val="1"/>
        <charset val="204"/>
      </rPr>
      <t xml:space="preserve">
- нормативність ведення (охайність та заповнення всіх граф відповідно до форми);
- стан зберігання вхідної та вихідної документації;
</t>
    </r>
  </si>
  <si>
    <r>
      <rPr>
        <b/>
        <sz val="14"/>
        <color indexed="8"/>
        <rFont val="Times New Roman"/>
        <family val="1"/>
        <charset val="204"/>
      </rPr>
      <t>2.7. Наявність контрольно-візітаційної книги:</t>
    </r>
    <r>
      <rPr>
        <sz val="14"/>
        <color indexed="8"/>
        <rFont val="Times New Roman"/>
        <family val="1"/>
        <charset val="204"/>
      </rPr>
      <t xml:space="preserve">
- своєчасть записів до книги;  
- наявність зауважень, пропозицій;
- забезпечення порядку зберігання</t>
    </r>
  </si>
  <si>
    <t>2.8. Нормативність ведення журналів реєстрації інструктажів з техніки безпеки та охорони праці працівників закладу</t>
  </si>
  <si>
    <r>
      <rPr>
        <b/>
        <sz val="14"/>
        <color indexed="8"/>
        <rFont val="Times New Roman"/>
        <family val="1"/>
        <charset val="204"/>
      </rPr>
      <t>2.9. Наявність журналу обліку нещасних випадків:</t>
    </r>
    <r>
      <rPr>
        <sz val="14"/>
        <color indexed="8"/>
        <rFont val="Times New Roman"/>
        <family val="1"/>
        <charset val="204"/>
      </rPr>
      <t xml:space="preserve">
- дотримання нормативності ведення журналу згідно з Інструкцією…..;
- своєчасність оформлення необхідних документів (повідомлення, акти тощо).
</t>
    </r>
  </si>
  <si>
    <r>
      <rPr>
        <b/>
        <sz val="14"/>
        <color indexed="8"/>
        <rFont val="Times New Roman"/>
        <family val="1"/>
        <charset val="204"/>
      </rPr>
      <t>2.10. Наявність посадових інструкцій:</t>
    </r>
    <r>
      <rPr>
        <sz val="14"/>
        <color indexed="8"/>
        <rFont val="Times New Roman"/>
        <family val="1"/>
        <charset val="204"/>
      </rPr>
      <t xml:space="preserve">
- відповідність нормативам;
- стан ознайомлення працівників під особистий підпис;
- наявність функціональних обов’язків як складової частини інструкцій.</t>
    </r>
  </si>
  <si>
    <t>Нормативність ведення  документації  щодо організації навчально-виховного процесу ПНЗ</t>
  </si>
  <si>
    <r>
      <rPr>
        <b/>
        <sz val="14"/>
        <color indexed="8"/>
        <rFont val="Times New Roman"/>
        <family val="1"/>
        <charset val="204"/>
      </rPr>
      <t>3.1.</t>
    </r>
    <r>
      <rPr>
        <sz val="14"/>
        <color indexed="8"/>
        <rFont val="Times New Roman"/>
        <family val="1"/>
        <charset val="204"/>
      </rPr>
      <t xml:space="preserve"> </t>
    </r>
    <r>
      <rPr>
        <b/>
        <sz val="14"/>
        <color indexed="8"/>
        <rFont val="Times New Roman"/>
        <family val="1"/>
        <charset val="204"/>
      </rPr>
      <t>Наявність робочого навчального плану:</t>
    </r>
    <r>
      <rPr>
        <sz val="14"/>
        <color indexed="8"/>
        <rFont val="Times New Roman"/>
        <family val="1"/>
        <charset val="204"/>
      </rPr>
      <t xml:space="preserve">
- нормативність затвердження; 
- відповідність навчальним програмам.
</t>
    </r>
  </si>
  <si>
    <r>
      <t xml:space="preserve">3.2. Наявність навчальних програм за напрямками роботи: </t>
    </r>
    <r>
      <rPr>
        <sz val="14"/>
        <color indexed="8"/>
        <rFont val="Times New Roman"/>
        <family val="1"/>
        <charset val="204"/>
      </rPr>
      <t>державні (рік видання);</t>
    </r>
    <r>
      <rPr>
        <b/>
        <sz val="14"/>
        <color indexed="8"/>
        <rFont val="Times New Roman"/>
        <family val="1"/>
        <charset val="204"/>
      </rPr>
      <t xml:space="preserve"> </t>
    </r>
    <r>
      <rPr>
        <sz val="14"/>
        <color indexed="8"/>
        <rFont val="Times New Roman"/>
        <family val="1"/>
        <charset val="204"/>
      </rPr>
      <t>варіативні, робочі навчальні – ким рекомендовані для використання)</t>
    </r>
  </si>
  <si>
    <t>3.3. Нормативність затвердження мережі</t>
  </si>
  <si>
    <r>
      <t xml:space="preserve">3.4.  Наявність розкладу занять: </t>
    </r>
    <r>
      <rPr>
        <sz val="14"/>
        <color indexed="8"/>
        <rFont val="Times New Roman"/>
        <family val="1"/>
        <charset val="204"/>
      </rPr>
      <t xml:space="preserve">
- нормативність затвердження та погодження з ПК;  
- дотримання санітарно-гігієнічних вимог щодо навчального навантаження учнів;
- доступність розкладу для учнів, педагогів та батьків
</t>
    </r>
  </si>
  <si>
    <r>
      <rPr>
        <b/>
        <sz val="14"/>
        <color indexed="8"/>
        <rFont val="Times New Roman"/>
        <family val="1"/>
        <charset val="204"/>
      </rPr>
      <t>3.5.</t>
    </r>
    <r>
      <rPr>
        <sz val="14"/>
        <color indexed="8"/>
        <rFont val="Times New Roman"/>
        <family val="1"/>
        <charset val="204"/>
      </rPr>
      <t xml:space="preserve"> </t>
    </r>
    <r>
      <rPr>
        <b/>
        <sz val="14"/>
        <color indexed="8"/>
        <rFont val="Times New Roman"/>
        <family val="1"/>
        <charset val="204"/>
      </rPr>
      <t>Наявність</t>
    </r>
    <r>
      <rPr>
        <sz val="14"/>
        <color indexed="8"/>
        <rFont val="Times New Roman"/>
        <family val="1"/>
        <charset val="204"/>
      </rPr>
      <t xml:space="preserve"> к</t>
    </r>
    <r>
      <rPr>
        <b/>
        <sz val="14"/>
        <color indexed="8"/>
        <rFont val="Times New Roman"/>
        <family val="1"/>
        <charset val="204"/>
      </rPr>
      <t>ниги протоколів засідань педагогічної ради:</t>
    </r>
    <r>
      <rPr>
        <sz val="14"/>
        <color indexed="8"/>
        <rFont val="Times New Roman"/>
        <family val="1"/>
        <charset val="204"/>
      </rPr>
      <t xml:space="preserve">
- нормативність ведення протоколів засідань відповідно до існуючих вимог;
- відповідність протоколів плану проведення засідань педради;
- актуальність тематики педрад;
- фіксація прийнятих рішень;
- чітке і охайне виконання записів;
- дотримання терміну зберігання 
</t>
    </r>
  </si>
  <si>
    <r>
      <rPr>
        <b/>
        <sz val="14"/>
        <color indexed="8"/>
        <rFont val="Times New Roman"/>
        <family val="1"/>
        <charset val="204"/>
      </rPr>
      <t>3.6. Стан ведення журналів планування та обліку роботи гуртків:</t>
    </r>
    <r>
      <rPr>
        <sz val="14"/>
        <color indexed="8"/>
        <rFont val="Times New Roman"/>
        <family val="1"/>
        <charset val="204"/>
      </rPr>
      <t xml:space="preserve">
- своєчасне заповнення всіх граф;
- чітке і охайне ведення записів;
- систематичний контроль з боку адміністрації.</t>
    </r>
  </si>
  <si>
    <r>
      <rPr>
        <b/>
        <sz val="14"/>
        <color indexed="8"/>
        <rFont val="Times New Roman"/>
        <family val="1"/>
        <charset val="204"/>
      </rPr>
      <t>3.7.</t>
    </r>
    <r>
      <rPr>
        <sz val="14"/>
        <color indexed="8"/>
        <rFont val="Times New Roman"/>
        <family val="1"/>
        <charset val="204"/>
      </rPr>
      <t xml:space="preserve"> Журнали реєстраціїї інструктажів з техніки безпеки та охорони праці вихованців під час навчально-виховного процесу</t>
    </r>
  </si>
  <si>
    <t xml:space="preserve">Методичне забезпечення діяльності позашкільного навчального закладу </t>
  </si>
  <si>
    <r>
      <rPr>
        <b/>
        <sz val="14"/>
        <color indexed="8"/>
        <rFont val="Times New Roman"/>
        <family val="1"/>
        <charset val="204"/>
      </rPr>
      <t xml:space="preserve">4.1. Стан методичної роботи ПНЗ:                                          </t>
    </r>
    <r>
      <rPr>
        <sz val="14"/>
        <color indexed="8"/>
        <rFont val="Times New Roman"/>
        <family val="1"/>
        <charset val="204"/>
      </rPr>
      <t xml:space="preserve">  - наявність матеріалів  річних звітів, масових заходів,  методичних об'єднань, педагогічних практикумів, конференцій, семінарів з питань методичної роботи;                       - діяльність методичних об’єднань та стан видавничої діяльності.</t>
    </r>
  </si>
  <si>
    <r>
      <rPr>
        <b/>
        <sz val="14"/>
        <color indexed="8"/>
        <rFont val="Times New Roman"/>
        <family val="1"/>
        <charset val="204"/>
      </rPr>
      <t>4.2. Наявність матеріалів атестації педагогічних кадрів:</t>
    </r>
    <r>
      <rPr>
        <sz val="14"/>
        <color indexed="8"/>
        <rFont val="Times New Roman"/>
        <family val="1"/>
        <charset val="204"/>
      </rPr>
      <t xml:space="preserve">
- наявність перспективного плану підвищення кваліфікації;
- наявність перспективного плану атестації;
- наявність протоколів засідань атестаційної комісії;
- наявність книги обліку наслідків внутрішкільного контролю керівника та його заступників (кількість занять,  відвіданих адміністрацією закладу, висновки і пропозиції адміністрації по заняттю, відповідність їх меті відвідування;
- дотримання вимог нормативних документів про атестацію; </t>
    </r>
  </si>
  <si>
    <t>Наявність та правильність оформлення матеріальної книги у кабінеті інформатики та інформаційно-комунікаційних технологій навчання</t>
  </si>
  <si>
    <t>Наявність інструкцій з безпеки життєдіяльності (відповідно до Правил безпеки під час навчання в кабінетах інформатики)</t>
  </si>
  <si>
    <t>Облаштування навчального закладу комп’ютерною технікою та доступом до мережі Інтернет</t>
  </si>
  <si>
    <t>Наявність інвентарних номерів на усіх одиницях комп’ютерної, мультимедійної та  оргтехніки</t>
  </si>
  <si>
    <t>Розгалуження загальношкільної локальної мережі</t>
  </si>
  <si>
    <t>Наявність доступу до мережі Інтернет з усіх ПК навчального закладу</t>
  </si>
  <si>
    <t>Наявність доступу до мережі Інтернет із кабінету інформатики</t>
  </si>
  <si>
    <t>Наявність доступу до мережі Інтернет з шкільної бібліотеки</t>
  </si>
  <si>
    <t xml:space="preserve">Наявність локальної мережі в кабінеті інформатики та інформаційно-комунікаціних технологій навчання </t>
  </si>
  <si>
    <t>Санітарно-гігієнічний стан приміщень</t>
  </si>
  <si>
    <t>Створення системи забезпечення управління ДНЗ району зовнішньою інформацією, її повнота</t>
  </si>
  <si>
    <t xml:space="preserve"> Охоплення дітей дошкільною освітою</t>
  </si>
  <si>
    <t>Впровадження різних форм охоплення дітей дошкільною освітою (створення груп короткотривалого перебування, організація соціально-педагогічного патронату сім'ї тощо)</t>
  </si>
  <si>
    <t>Стан проведення інвентаризації  приміщень закритих ДНЗ</t>
  </si>
  <si>
    <t>Якість проведення експертизи мережі ДНЗ</t>
  </si>
  <si>
    <t>Забезпечення гнучкого режиму роботи ДНЗ відповідно до запитів батьків</t>
  </si>
  <si>
    <t>Здійснення моніторінгу охоплення дітей дошкільною освітою</t>
  </si>
  <si>
    <t>Стан роботи по охопленню дітей 5-ти річного віку</t>
  </si>
  <si>
    <t>Створення інформаційного банку даних обліку дітей дошкільного віку, постійне поновлення шляхом використання інформаційних технологій</t>
  </si>
  <si>
    <t>Стан проведення обліку дітей дошкільного віку</t>
  </si>
  <si>
    <t>Забезпечення системності контролю за охопленням і обліком дітей дошкільного віку</t>
  </si>
  <si>
    <t>Оформлення відповідних документів (звіти, накази, протоколи, списки дітей, заходи)</t>
  </si>
  <si>
    <t xml:space="preserve"> Дотримання нормативних вимог щодо складання планів</t>
  </si>
  <si>
    <t xml:space="preserve">Системність та змістовність планування у розділі  "Дошкільна освіта" річного плану РУО </t>
  </si>
  <si>
    <t>Наявність та грунтовність усіх планів, передбачених нормативними вимогами (на місяць, на тиждень)</t>
  </si>
  <si>
    <t xml:space="preserve"> Наявність та зберігання ділової документації відповідно до наказу «Про затвердження номенклатури справ»</t>
  </si>
  <si>
    <t>Ведення документації державною мовою</t>
  </si>
  <si>
    <r>
      <t xml:space="preserve">Документи </t>
    </r>
    <r>
      <rPr>
        <sz val="14"/>
        <color indexed="8"/>
        <rFont val="Times New Roman"/>
        <family val="1"/>
        <charset val="204"/>
      </rPr>
      <t>поаркушно пронумеровані, прошнуровані, підписані керівником, скріплені печаткою</t>
    </r>
    <r>
      <rPr>
        <sz val="14"/>
        <rFont val="Times New Roman"/>
        <family val="1"/>
        <charset val="204"/>
      </rPr>
      <t xml:space="preserve"> </t>
    </r>
  </si>
  <si>
    <t>Дотримання терміну зберігання</t>
  </si>
  <si>
    <t xml:space="preserve">Нормативність  ведення ділової документації </t>
  </si>
  <si>
    <t>Наявність статистичних звітів та ведення відповідно до нормативних вимог та рекомендацій органів статистики</t>
  </si>
  <si>
    <t>Наявність матеріалів державної атестації ДНЗ та ведення відповідно до нормативних вимог</t>
  </si>
  <si>
    <t>Відповідність Статутів ДНЗ сучасним вимогам</t>
  </si>
  <si>
    <t>Протокол 
вивчення стану управлінської діяльності щодо організації відпочинку та оздоровлення вихованців 
у КЗ "ДНЗ № "</t>
  </si>
  <si>
    <t>стан забезпечення нормативно-правовими та розпорядчими документами з питань організації відпочинку та оздоровлення вихованців, упорядкування та систематизація документів</t>
  </si>
  <si>
    <t>своєчасність і повнота доведення інформації з цього питання до учасників навчально-виховного процесу (протоколи нарад та зборів, накази, щорічний звіт завідувача, зміст сайту тощо). Обізнаність адміністрації ДНЗ з вимогами законодавчих, нормативних, інструктивних документів</t>
  </si>
  <si>
    <t> наявність необхідних планів (план на літній оздоровчий період затверджений в установленому порядку, перспективні та календарні плани педагогічних та медичних працівників)</t>
  </si>
  <si>
    <t xml:space="preserve">нормативність оформлення документів </t>
  </si>
  <si>
    <t>стан роботи щодо оптимізації кількості груп у літній оздоровчий період</t>
  </si>
  <si>
    <t xml:space="preserve"> наявність режиму роботи груп на літній оздоровчий період затверджений в установленому порядку та складений відповідно до нормативних вимог</t>
  </si>
  <si>
    <t>здійснення контролю за дотриманням режиму дня</t>
  </si>
  <si>
    <t>здійснення контролю за організацією харчування</t>
  </si>
  <si>
    <t xml:space="preserve">кадрове забезпечення </t>
  </si>
  <si>
    <t>наявність та змістовність наказу «Про охорону життя і здоров’я дітей та попередження дитячого травматизму в літній період»</t>
  </si>
  <si>
    <t xml:space="preserve">своєчасність проведення інструктажу педагогічних, медичних працівників і технічного персоналу з питань безпеки життєдіяльності дітей, пожежної безпеки, охорони праці. Наявність випадків дитячого травматизу, оформлення відповідних документів  </t>
  </si>
  <si>
    <t>змістовність наказу про підготовку та організацію літнього оздоровлення дітей в ДНЗ</t>
  </si>
  <si>
    <t> затвердження розкладу занять в установленому порядку, дотримання розкладу занять (перспективне та календарне планування)</t>
  </si>
  <si>
    <t xml:space="preserve">стан організаці роботи з батьками вихованців (анкетування, батьківські збори, інформаційні стенди тощо)  </t>
  </si>
  <si>
    <t>створення умов для змістовного дозвілля, фізкультурно-оздоровчої роботи з дітьми на виконання листа Міністерства освіти і науки України від 16.08.2010 № 1/9-563 «Фізичний розвиток дітей в умовах дошкільного навчального закладу»</t>
  </si>
  <si>
    <t xml:space="preserve">стан поповнення оснащення методичного кабінету, груп інформаційно-інструктивно-методичними матеріалами з питань організації та змісту літнього оздоровлення, забезпечення груп атрибутами для ігор, розроблення схем загартування, укладання добірок літературних творів, допоміжних перспективних планів тощо) </t>
  </si>
  <si>
    <t xml:space="preserve">здійснення контролю за організацією та проведенням навчально-виховного процесу </t>
  </si>
  <si>
    <t>Протокол 
вивчення стану управлінської діяльності щодо  організації медичного обслуговування
  у КЗ "ДНЗ № "</t>
  </si>
  <si>
    <t>Інформаційно-нормативне забезпеченя управлінської діяльності щодо організації медичного обслуговування</t>
  </si>
  <si>
    <t>стан забезпечення нормативно-правовими та розпорядчими документами з питань організації медичного обслуговування, упорядкування та систематизація цих  документів</t>
  </si>
  <si>
    <t xml:space="preserve"> Планування роботи щодо організації медичного обслуговування</t>
  </si>
  <si>
    <t>документація щодо функціонування ДНЗ з питань медичного обслуговування (матеріли державної атестації, статистичні звіти, статут ДНЗ)</t>
  </si>
  <si>
    <t xml:space="preserve">якість планування (дієвість, реальність запланованих заходів у річному плані роботи та у календарних та перспективних планах педагогічних та медичних працівників, якість аналізу у частині організації медичного обслуговування у річному плані роботи) </t>
  </si>
  <si>
    <t>стан дотримання вимог до складання та оформлення документів</t>
  </si>
  <si>
    <t xml:space="preserve">Стан санітарно-гігієнічних умов перебування вихованців </t>
  </si>
  <si>
    <t>дотримання загальних санітарно-гігієнічних умов (відповідність  режиму санітарно-гігієнічним нормам; дотримання режиму провітрювання; проведення вологого прибирання; забезпезпечення мийними та дезінфекційними засобами; забезпечення меблями, їх маркування та наявність позитивного висновку СЕС; забезпечення індивідуальними рушниками та предметами особистої гігієни; забезпечення дезінфекційними засобами та миючими засобами, дотримання умов їх зберігання,  відповідність освітлення приміщень санітарним нормам тощо)</t>
  </si>
  <si>
    <t>стан профілактики паразитарних захворювань (наявність договору щодо проведення дератизаційних та дезінсекційних заходів)</t>
  </si>
  <si>
    <t>Наявність та оснащення медичного блоку</t>
  </si>
  <si>
    <t>наявність ізолятору, маніпуляційної, медичного кабінету відповідно до нормативних вимог</t>
  </si>
  <si>
    <t>стан своєчасного забезпечення медичного кабінету необхідним обладнанням, медичними  та лікарськими засобами відповідно до нормативних вимог</t>
  </si>
  <si>
    <t>стан ведення обліку медичного обладнання, лікарських засобів та виробів медичного призначення, імунобіологічних препаратів, дотримання правил і термінів їх зберігання та використання</t>
  </si>
  <si>
    <t xml:space="preserve">дотримання санітарно-гігієнічних вимог в ізоляторі, маніпуляційній та у медичному кабінеті </t>
  </si>
  <si>
    <t xml:space="preserve"> Здійснення санітарно-просвітницької роботи з учасниками навчально-виховного процесу </t>
  </si>
  <si>
    <t>наявність та змістовність сучасних інформаційних матеріалів з питань медичного обслуговування; здорового способу життя, загартування, раціонального харчування</t>
  </si>
  <si>
    <t>розгляд санітарно-просвітницької роботи на нарадах, зборах тощо. Наявність наказів,протоколів,  довідок, нормативність їх ведення</t>
  </si>
  <si>
    <t xml:space="preserve">Аналіз стану здоров'я вихованців </t>
  </si>
  <si>
    <t xml:space="preserve">нормативність ведення обліково-звітної та медичної документації в порядку, встановленому МОЗ України та відповідно до наказу ДНЗ «Про затвердження номенклатури справ» </t>
  </si>
  <si>
    <t>стан роботи щодо здійснення моніторингу здоров’я вихованців</t>
  </si>
  <si>
    <t>стан організації роботи  щодо профілактики різних видів захворювань</t>
  </si>
  <si>
    <t>стан проведення та результати  медичних оглядів вихованців</t>
  </si>
  <si>
    <t xml:space="preserve">Наявність штатного розкладу в навчальному закладі та його обґрунтованість </t>
  </si>
  <si>
    <t>Наявність тарифікаційного списку на педпрацівників, що надають платні освітні послуги</t>
  </si>
  <si>
    <t>Нормативність системи та порядку  оплати праці працівників, що надають платні освітні послуги</t>
  </si>
  <si>
    <t>Наявність обліку матеріальних цінностей, що передаються навчальним закладам благодійниками</t>
  </si>
  <si>
    <t>Наявність обліку  виконаних робіт, послуг, які надаються навчальним закладам благодійниками</t>
  </si>
  <si>
    <t>Наявність відповідних документів, які підтверджують використання за призначенням благодійних внесків та товарно-матеріальних цінностей, що  надходять до навчальних закладів</t>
  </si>
  <si>
    <t>План залучення</t>
  </si>
  <si>
    <r>
      <t xml:space="preserve">Наявність плану залучення позабюджетних коштів </t>
    </r>
    <r>
      <rPr>
        <i/>
        <sz val="14"/>
        <color indexed="8"/>
        <rFont val="Times New Roman"/>
        <family val="1"/>
        <charset val="204"/>
      </rPr>
      <t>(бізнес-плану).</t>
    </r>
  </si>
  <si>
    <t>Наявність кошторисів за видами діяльності</t>
  </si>
  <si>
    <t>Наявність аналізу виконання кошторису</t>
  </si>
  <si>
    <t>Прийняття відповідних управлінських рішень за аналізом виконання кошторису</t>
  </si>
  <si>
    <t>Кошторис прибутків та видатків</t>
  </si>
  <si>
    <t>Відповідність порядку затвердження</t>
  </si>
  <si>
    <t>Нормативність прийняття відповідних управлінських рішень за аналізом виконання кошторису</t>
  </si>
  <si>
    <t>Контроль за позабюджетною діяльністю закладу</t>
  </si>
  <si>
    <t>Наявність матеріалів перевірок іншими організаціями</t>
  </si>
  <si>
    <t>Наявність заходів щодо усунення виявлених недоліків</t>
  </si>
  <si>
    <t xml:space="preserve">Наявність скарг з приводу позабюджетної діяльності </t>
  </si>
  <si>
    <t>Стан здійснення контролю за усуненням недоліків з боку адміністрації навчальних  закладів та управління</t>
  </si>
  <si>
    <r>
      <t xml:space="preserve">0,5 &lt; F ≤ 0,65 </t>
    </r>
    <r>
      <rPr>
        <sz val="12"/>
        <color indexed="8"/>
        <rFont val="Times New Roman"/>
        <family val="1"/>
        <charset val="204"/>
      </rPr>
      <t>– рівень середній;</t>
    </r>
  </si>
  <si>
    <r>
      <t xml:space="preserve">0,65 &lt; F ≤ 0,85 </t>
    </r>
    <r>
      <rPr>
        <sz val="12"/>
        <color indexed="8"/>
        <rFont val="Times New Roman"/>
        <family val="1"/>
        <charset val="204"/>
      </rPr>
      <t>– рівень достатній;</t>
    </r>
  </si>
  <si>
    <r>
      <t xml:space="preserve">0,85 &lt; F ≤ 1 </t>
    </r>
    <r>
      <rPr>
        <sz val="12"/>
        <color indexed="8"/>
        <rFont val="Times New Roman"/>
        <family val="1"/>
        <charset val="204"/>
      </rPr>
      <t>– рівень високий.</t>
    </r>
  </si>
  <si>
    <t xml:space="preserve">• наявність:
- Законів України «Про освіту», «Про загальну середню освіту», «Про бухгалтерський облік та фінансову звітність в Україні», «Про Державний бюджет України»; 
- Бюджетного кодексу України від 08.07.2010 № 2456-VІ;
- Податкового кодексу України від 02.12.2010 №2755- VІ;
- постанов Кабінету Міністрів України від 28.02.2002 № 228 «Про затвердження Порядку складання, розгляду, затвердження та основних вимог до виконання кошторисів установ» зі змінами; Правління Національного Банку України від 15.12.2004 № 637  «Про затвердження Положення про ведення касових операцій у національній валюті України» зі змінами;
- наказів  Державного казначейства України від 10.12.1999 № 114 «Про затвердження  Плану рахунків бухгалтерського обліку бюджетних установ та Порядку застосування Плану рахунків бухгалтерського обліку бюджетних установ» зі змінами, від 10.07.2000 №61 «Про затвердження інструкції про кореспонденцію субрахунків бухгалтерського обліку для відображення основних господарських операцій бюджетних установ» зі змінами, від 30.10.1998 № 90 «Про затвердження Інструкції з інвентаризації матеріальних цінностей, розрахунків та інших статей балансу бюджетних установ» зі змінами, Міністерства транспорту України від 10.02.1998     № 43 «Норми витрат палива і мастильних матеріалів на автомобільному транспорті» зі змінами.
</t>
  </si>
  <si>
    <t>ознайомлення працівників  з нормативно-правовими документами,  розгляд питань на нарадах, педрадах</t>
  </si>
  <si>
    <t>вивчення стану   управлінської діяльності щодо виконання мовного законодавства  в управлінні освіти адміністрації району</t>
  </si>
  <si>
    <t>Наявність відповідних заходів на виконання програм, стан та якість їх реалізації</t>
  </si>
  <si>
    <t>Місце даного питання у річному плані роботи управління та закладів освіти, конкретність спланованих заходів, їх виконання</t>
  </si>
  <si>
    <t>Планування роботи щодо овиконання мовного законодавства (включення питання для розгляду на  нарадах, колегіях,  зборах; видання наказів;  розміщення інформації на сайті УО тощо).</t>
  </si>
  <si>
    <t>Конкретність, доцільність поставлених перед педагогічним колективом завдань, оптимальність визначення строків</t>
  </si>
  <si>
    <t>Зміни в мережі шкіл (класів) з українською мовою навчання; % учнів району (школи), які навчаються українською мовою</t>
  </si>
  <si>
    <t>Наявність аналізу відповідності мережі українськомовних закладів освіти культурним потребам та демографічному складу населення району</t>
  </si>
  <si>
    <t>Форми роботи, використані управлінням та навчальними закладами для дослідження цього питання</t>
  </si>
  <si>
    <t>Відповідність мови навчання статутному положенню (для навчальних закладів)</t>
  </si>
  <si>
    <t>Наявність перспективного плану розвитку мережі українськомовних навчальних закладів усіх типів</t>
  </si>
  <si>
    <t>Мовна територіальна відповідність дошкільних закладів загальноосвітнім</t>
  </si>
  <si>
    <t>Проведення аналізу стану роботи закладів освіти району щодо розвитку та впровадження державної  мови в навчально-виховний процес (висновки та рекомендації, їх виконання навчальними закладами)</t>
  </si>
  <si>
    <t>Проведення аналізу стану викладання предметів українською мовою у загальноосвітніх закладах освіти, занять - у дошкільних закладах освіти</t>
  </si>
  <si>
    <t xml:space="preserve">Організація роботи щодо забезпечення якісної підготовки випускників ЗНЗ (11 кл) з навчанням  мовою національних меншин до ЗНО   </t>
  </si>
  <si>
    <t>Вивчення системи роботи дошкільних навчальних закладів щодо наступності в підготовці дітей для  українськомовних навчальних закладів   (ефективність здійснюваних заходів)</t>
  </si>
  <si>
    <t>Стан роботи щодо дотримання вимог стосовно оформлення закладів відповідно до рекомендацій   листа   МОН   України   від 25.02.2004 №1/9-86 „ Про посилення уваги до використання державної символіки…"</t>
  </si>
  <si>
    <t>Наявність системи виховної роботи в мікрорайонах шкіл та дошкільних навчальних закладів</t>
  </si>
  <si>
    <t xml:space="preserve">                                                                                                                                                                                               </t>
  </si>
  <si>
    <t xml:space="preserve">                                                </t>
  </si>
  <si>
    <t xml:space="preserve">Протокол перевірки РУО з питань організації роботи з допризовної підготовки
</t>
  </si>
  <si>
    <t>Нормативно-правовий аспект</t>
  </si>
  <si>
    <t>Наявність нормативних документів з питань організації допризовної підготовки</t>
  </si>
  <si>
    <t>Обізнаність керівництва РУО з вимогами законодавчих, нормативних, інструктивних матеріалів.</t>
  </si>
  <si>
    <t xml:space="preserve"> Своєчасність і повнота доведення інформації з питань допризовної підготовки до ЗНЗ (наявність протоколів нарад, зборів, наказів та їх змістовність тощо)</t>
  </si>
  <si>
    <t>Систематизація матеріалів.</t>
  </si>
  <si>
    <t xml:space="preserve"> Система збору зворотної інформації про виконання управлінських рішень</t>
  </si>
  <si>
    <t xml:space="preserve"> Організаційний та методичний аспекти</t>
  </si>
  <si>
    <t>Організація роботи районного  управління освіти з питань допризовної підготовки - план роботи РУО (РМК) (накази, протоколи, листи реєстрації, розробки, рекомендації тощо)</t>
  </si>
  <si>
    <t>Наявність облікової та звітної документації</t>
  </si>
  <si>
    <t xml:space="preserve">Зв'язок РУО з районним військкоматом (наявність відповідних документів)  </t>
  </si>
  <si>
    <t>Наявність матеріалів щодо проведення військово-спортивної гри "Патріот"</t>
  </si>
  <si>
    <t xml:space="preserve">Стан військово-патрітичного виховання  в ЗНЗ району (шефські зв'язки, місячники оборонно-масової роботи, музеї БС, пошукова робота тощо) </t>
  </si>
  <si>
    <t>План роботи районного  методичного об’єднання вчителів предмету Захист Вітчизни. Протоколи засідань.</t>
  </si>
  <si>
    <t>Програмно-методичне забезпечення викладання предмету Захист Вітчизни</t>
  </si>
  <si>
    <t>Узагальнення передових педагогічних досвідів (проведення відкритих уроків, семінарів тощо)</t>
  </si>
  <si>
    <t>Наявність документів щодо стану навчально-матеріальної бази ЗНЗ району</t>
  </si>
  <si>
    <t xml:space="preserve">Наявність звітів щодо організації роботи гуртків з військово-патріотичного виховання  </t>
  </si>
  <si>
    <t>Кадровий аспект</t>
  </si>
  <si>
    <t>Укомплектованість педагогічними кадрами. Педагогічне навантаження вчителів предмету "Захист Вітчизни" (книга особового складу педагогічних працівників, наказ про тарифікацію)</t>
  </si>
  <si>
    <t>Забезпечення ведення гурткової роботи фахівцями з військової справи</t>
  </si>
  <si>
    <t xml:space="preserve">Наявність матеріалів щодо підвищення кваліфікації та атестації вчителів предмету "Захист Вітчизни" </t>
  </si>
  <si>
    <t xml:space="preserve"> Контрольно-аналітичний аспект</t>
  </si>
  <si>
    <t xml:space="preserve">Наявність матеріалів щодо контролю за станом викладання предмету "Захист Вітчизни"  </t>
  </si>
  <si>
    <t>Проведення моніторингу навчальних досягнень учнів з даного предмета</t>
  </si>
  <si>
    <t>Наявність системи збору, збереження і опрацювання внутрішньої інформації про роботу ДНЗ району</t>
  </si>
  <si>
    <t xml:space="preserve">ПРОТОКОЛ
Виконання розділу «Дошкільна освіта» Комплексної програми розвитку м. Харкова на 2011-2015 роки у дошкільних навчальних закладах.
</t>
  </si>
  <si>
    <t>План роботи на рік:
-наявність аналізу кадрового забезпечення  навчальних закладів;
-план інспектування навчальних закладів з питань додержання норм трудового законодавства;
-робота з кадровим резервом;
-робота з молодими спеціалістами;</t>
  </si>
  <si>
    <t xml:space="preserve">Вивчення стану дотримання положень нормативних документів з трудового законодавства у </t>
  </si>
  <si>
    <t xml:space="preserve">Планування роботи з кадрами </t>
  </si>
  <si>
    <t xml:space="preserve">План роботи на рік
- наявність аналізу кадрового забезпечення
-планування роботи з модлодими спеціаілістами
- наявність інших кадрових питань у плануванні
</t>
  </si>
  <si>
    <t>Комплектування навчального закладу кадрами</t>
  </si>
  <si>
    <r>
      <t xml:space="preserve">Статистичні звіти з кадрової роботи:
- склад педкадрів за освітою, категоріями, віковий склад та інше.
Наявність вакансій педкадрів та обслуговуючого персоналу.
</t>
    </r>
    <r>
      <rPr>
        <i/>
        <sz val="12"/>
        <rFont val="Times New Roman"/>
        <family val="1"/>
        <charset val="204"/>
      </rPr>
      <t/>
    </r>
  </si>
  <si>
    <t xml:space="preserve">Штатний розпис - нормативність затвердження, - стан дотримання номенклатури посад. </t>
  </si>
  <si>
    <t xml:space="preserve">Плинність
- прийнято на роботу у 201__ році
- звільнено з роботи у 201__ році
- плинність у закладі ___% 
 у порівнянні з середньою по місту більше/менше на %
</t>
  </si>
  <si>
    <t>Книги обліку наслідків внуришкільного контролю адміністрації навчального закладу  ( надання методичної допомоги молодим спеціалістам). Інші матераіали щодо роботи з молодими спеціалістами.</t>
  </si>
  <si>
    <t>Інформаційне забезпечення, наявність нормативно-правових документів (Конституція України, Закон України «Про освіту», Закон України «Про середній загальноосвітній навчальний заклад», «Про дошкільну освіту», «Про позашкільну освіту»), Кодекс Законів України про Працю, Закон України «Про відпустки», Інструкція про ведення ділової документації, Інструкція про ведення трудових книжок, накази, методичні листи органів управління освітою та ін.).</t>
  </si>
  <si>
    <t>Вагомість фактору</t>
  </si>
  <si>
    <t>Вагомість критеріїв</t>
  </si>
  <si>
    <r>
      <rPr>
        <b/>
        <sz val="14"/>
        <color indexed="8"/>
        <rFont val="Times New Roman"/>
        <family val="1"/>
        <charset val="204"/>
      </rPr>
      <t>ПРОТОКОЛ 
від __.03.2013року 
вивчення стану діяльності ЛКТО управління освіти адміністрації Києвського району 
з питань інформатизації та роботи з програмним комплексом "Міська освітня мережа"</t>
    </r>
    <r>
      <rPr>
        <sz val="14"/>
        <color indexed="8"/>
        <rFont val="Times New Roman"/>
        <family val="1"/>
        <charset val="204"/>
      </rPr>
      <t xml:space="preserve">
ПІБ завідувача________________________________</t>
    </r>
  </si>
  <si>
    <t>Вагомість факторів</t>
  </si>
  <si>
    <r>
      <t>ІІ</t>
    </r>
    <r>
      <rPr>
        <sz val="12"/>
        <color indexed="8"/>
        <rFont val="Times New Roman"/>
        <family val="1"/>
        <charset val="204"/>
      </rPr>
      <t xml:space="preserve">. </t>
    </r>
    <r>
      <rPr>
        <b/>
        <sz val="12"/>
        <color indexed="8"/>
        <rFont val="Times New Roman"/>
        <family val="1"/>
        <charset val="204"/>
      </rPr>
      <t xml:space="preserve">Матеріально-технічна база </t>
    </r>
  </si>
  <si>
    <r>
      <t>ІІІ.</t>
    </r>
    <r>
      <rPr>
        <sz val="12"/>
        <color indexed="8"/>
        <rFont val="Times New Roman"/>
        <family val="1"/>
        <charset val="204"/>
      </rPr>
      <t xml:space="preserve"> </t>
    </r>
    <r>
      <rPr>
        <b/>
        <sz val="12"/>
        <color indexed="8"/>
        <rFont val="Times New Roman"/>
        <family val="1"/>
        <charset val="204"/>
      </rPr>
      <t>Наявність та використання програмного забезпечення, використання можливостей програмного комплексу "Міська освітня мережа"</t>
    </r>
  </si>
  <si>
    <t>Наявність матеріалів про організацію та проведення позакласної роботи з інформатики (введення факультативів, робота гуртків, проведення предметних тижнів, учнівських конкурсів тощо).</t>
  </si>
  <si>
    <t>Наявність матеріалів, що підтверджують узагальнення на рівні навчального закладу, району досвіду роботи вчителів, що запроваджують у системі інформаційно-комунікаційні технології (протоколи засідань педагогічної ради, методичної ради, матеріали досвіду роботи вчителів тощо).</t>
  </si>
  <si>
    <t>Наявність матеріалів, що підтверджують участь учасників навчально-виховного процесу у різноманітних конкурсах та заходах з питань запровадження інформаційно-комунікаційних технологій (учнівські та педагогічні конкурси).</t>
  </si>
  <si>
    <t xml:space="preserve">Стан заповнення бази даних (у відсотках за базами даних «Учні», «Співробітники», «Приміщення», «ТМЦ», заповнення штатного розпису тощо). </t>
  </si>
  <si>
    <t>Функціонування кабінету інформатики та інформаційно-комунікаційних технологій (наявність паспорту кабінету, інструкцій, журналів інструктажів, інвентарної книги, матеріальної книги, графіку роботи, методичних та дидактичних матеріалів).</t>
  </si>
  <si>
    <t>Наявність та систематичність оновлення розділу новин.</t>
  </si>
  <si>
    <t>Наявність та змістовність сторінки дистанційного навчання.</t>
  </si>
  <si>
    <t>Наявність та змістовність розділу щодо державних закупівель (для фінансово самостійних навчальних закладів).</t>
  </si>
  <si>
    <t>Наявність та змістовність розділу щодо зовнішнього незалежного оцінювання.</t>
  </si>
  <si>
    <t>Актуальність інформації, розміщеної на сайті.</t>
  </si>
  <si>
    <t>Наявність та актуальність інформації про контакти навчального закладу (адреса, телефони, е-mаіl) та його мережу.</t>
  </si>
  <si>
    <t>Проведення тематичних заходів з питань запровадження елементів дистанційного навчання.</t>
  </si>
  <si>
    <t>Напрямки  діяльності, що підлягають аналізу</t>
  </si>
  <si>
    <t>Загальні засади інформатизації освіти. Інформатизація навчально-виховного процесу.</t>
  </si>
  <si>
    <t>Наявність матеріалів, що підтверджують участь учасників навчально-виховного процесу у різноманітних конкурсах та заходах з питань запровадження інформаційно-комунікаційних технологій (педагогічні конкурси).</t>
  </si>
  <si>
    <t xml:space="preserve">Функціонування сайтів. </t>
  </si>
  <si>
    <t>Змістовність наповнення сайту навчального закладу та систематичність оновлення інформації.</t>
  </si>
  <si>
    <t>Наявність розділу щодо порядку отримання навчальним закладаом благодійних внесків.</t>
  </si>
  <si>
    <t xml:space="preserve">ПРОТОКОЛ 
від __.03.2013 року
вивчення стану інформатизації та комп'ютерізації позашкільного навчального закладу 
ПНЗ №№______________________________
ПІБ керівника-  _______________________________
</t>
  </si>
  <si>
    <r>
      <rPr>
        <b/>
        <sz val="14"/>
        <color indexed="8"/>
        <rFont val="Times New Roman"/>
        <family val="1"/>
        <charset val="204"/>
      </rPr>
      <t>Протокол
вивчення рівня організації методичної роботи дошкільного відділу РМЦ __________________________   району</t>
    </r>
    <r>
      <rPr>
        <b/>
        <sz val="12"/>
        <color indexed="8"/>
        <rFont val="Times New Roman"/>
        <family val="1"/>
        <charset val="204"/>
      </rPr>
      <t xml:space="preserve">
</t>
    </r>
  </si>
  <si>
    <t>1.3. Наявність матеріалів, які висвітлюють організацію методичної роботи в закладах освіти</t>
  </si>
  <si>
    <t>1.4. Наявність матеріалів моніторингових спостережень</t>
  </si>
  <si>
    <t>1.5. Наявність інформації про якісний та кількісний склад педагогічних кадрів</t>
  </si>
  <si>
    <t>1.6. Наявність матеріалів щодо роботи творчих груп</t>
  </si>
  <si>
    <t>1.7. Наявність матеріалів щодо діяльності методичних об’єднань</t>
  </si>
  <si>
    <t>3.3. Зв'язок із загальною науково-методичною темою міста</t>
  </si>
  <si>
    <t>5.4. Рівень теоретико-методологічного забезпечення інноваційної діяльності педагогів</t>
  </si>
  <si>
    <t>5.7. Наявність матеріалів з апробації та впровадження інноваційних освітніх технологій і досягнень науки</t>
  </si>
  <si>
    <t>5.8. Здійснення навчально-методичного консультування педагогічних і керівних працівників дошкільної освіти району</t>
  </si>
  <si>
    <t xml:space="preserve">7.1. Рівень забезпечення вивчення стану методичної роботи в навчальних закладах </t>
  </si>
  <si>
    <t>7.2. Наявність оціночного інструментарію (анкет, експертних протоколів тощо)</t>
  </si>
  <si>
    <t>Соціальна спрямованість діяльності методичних центрів районів</t>
  </si>
  <si>
    <t>8.3. Наявність матеріалів щодо участі в конференціях, семінарах, конкурсах різних категорій. Рівень презентаційної діяльності РМЦ</t>
  </si>
  <si>
    <t>Результативність науково-методичної роботи з педагогічними працівниками дошкільної освіти</t>
  </si>
  <si>
    <t xml:space="preserve">9.1. Рівень ефективності форм і методів науково-методичної роботи:
- засідання методичної ради;
- засідання методичних об’єднань;
- школа педмайстерності та молодого вчителя;
- творчі групи, інші форми та методи
</t>
  </si>
  <si>
    <t xml:space="preserve">9.2. Наявність друкованої продукції педагогів:
- авторські програми;
- розробки посібників;
- публікації у фахових виданнях
</t>
  </si>
  <si>
    <t xml:space="preserve">9.3. Наявність матеріалів щодо виявлення, узагальнення і розповсюдження ППД:
- оформлення досвіду;
- виступи на міських обласних семінарах;
- залучення до роботи молодих фахівців
</t>
  </si>
  <si>
    <t>9.4. Рівень участі у масових педагогічних заходах різних рівнів:
- ярмарках педагогічних ідей;
- районних педагогічних заходах;
- педагогічних виставках, творчих звітах, конкурсах, науково-практичних конференціях тощо;
- конкурсах професійної майстерності «Вихователь року»</t>
  </si>
  <si>
    <t xml:space="preserve">Рівень організації методичної роботи районним методичним центром </t>
  </si>
  <si>
    <t>вивчення стану управлінської діяльності щодо організації медичного обслуговування учнів та обстеження працівників ЗНЗ   управління освіти адміністрації району</t>
  </si>
  <si>
    <t xml:space="preserve">Річний план роботи </t>
  </si>
  <si>
    <t xml:space="preserve">Врахування нормативно-правових вимог щодо організації медичного обслуговування учнів </t>
  </si>
  <si>
    <t>Планування роботи  щодо проведення профілактичних медичних оглядів учнів та працівників та аналізу стану їх здоров`я.</t>
  </si>
  <si>
    <t>Планування роботи  щодо проведення поглиблених профілактичних медичних оглядів та аналізу стану здоров`я учнів.</t>
  </si>
  <si>
    <t>Планування роботи щодо профілактики різних видів захворювання.</t>
  </si>
  <si>
    <t>Конкретність поставлених перед педагогічними колективами ЗНЗ завдань.</t>
  </si>
  <si>
    <t xml:space="preserve"> Доцільність та раціональність  запланованих заходів та  завдань.</t>
  </si>
  <si>
    <t>Створення системи контролю та аналізу щодо організації медичного обслуговування, санітарної освіти,  медичного обстеження учнів та працівників ЗНЗ  району</t>
  </si>
  <si>
    <r>
      <rPr>
        <b/>
        <sz val="14"/>
        <color indexed="8"/>
        <rFont val="Times New Roman"/>
        <family val="1"/>
        <charset val="204"/>
      </rPr>
      <t>5.1. Наявність</t>
    </r>
    <r>
      <rPr>
        <sz val="14"/>
        <color indexed="8"/>
        <rFont val="Times New Roman"/>
        <family val="1"/>
        <charset val="204"/>
      </rPr>
      <t xml:space="preserve"> системи внутрішкільного контролю за проведенням навчально-виховного процесу, охоплення ним всіх сторін діяльності закладу;
- використання різних форм і методів контролю, рівень здійснення внутрішкільного контролю;
- наявність актів перевірок тощо.</t>
    </r>
  </si>
  <si>
    <r>
      <rPr>
        <b/>
        <sz val="14"/>
        <color indexed="8"/>
        <rFont val="Times New Roman"/>
        <family val="1"/>
        <charset val="204"/>
      </rPr>
      <t>5.2. Наявність актів, довідок про перевірку роботи закладу вищими організаціями:</t>
    </r>
    <r>
      <rPr>
        <sz val="14"/>
        <color indexed="8"/>
        <rFont val="Times New Roman"/>
        <family val="1"/>
        <charset val="204"/>
      </rPr>
      <t xml:space="preserve">
- забезпечення порядку зберігання;
- дотримання терміну зберігання.
</t>
    </r>
  </si>
  <si>
    <t xml:space="preserve">Матеріально-технічне забезпечення ПНЗ </t>
  </si>
  <si>
    <t>• Наявність типового обладнання, інвентарю. 
• Раціональне використання приміщень. 
• Відповідність обладнання приміщень техніці безпеки.
• Наявність технічних засобів навчання, їх стан і збереження
• Відповідність освітлення навчального закладу санітарним нормам.
• Наявність і стан протипожежного обладнання.</t>
  </si>
  <si>
    <t>Рівень  управлінської діяльності адміністрації позашкільного навчального закладу щодо організаціїї навчально-виховного процесу</t>
  </si>
  <si>
    <r>
      <t>Експертна оцінка</t>
    </r>
    <r>
      <rPr>
        <sz val="14"/>
        <color indexed="8"/>
        <rFont val="Times New Roman"/>
        <family val="1"/>
        <charset val="204"/>
      </rPr>
      <t xml:space="preserve"> (</t>
    </r>
    <r>
      <rPr>
        <b/>
        <sz val="14"/>
        <color indexed="8"/>
        <rFont val="Times New Roman"/>
        <family val="1"/>
        <charset val="204"/>
      </rPr>
      <t>К</t>
    </r>
    <r>
      <rPr>
        <b/>
        <vertAlign val="subscript"/>
        <sz val="14"/>
        <color indexed="8"/>
        <rFont val="Times New Roman"/>
        <family val="1"/>
        <charset val="204"/>
      </rPr>
      <t>n</t>
    </r>
    <r>
      <rPr>
        <sz val="14"/>
        <color indexed="8"/>
        <rFont val="Times New Roman"/>
        <family val="1"/>
        <charset val="204"/>
      </rPr>
      <t>) за кожним питанням експертизи</t>
    </r>
    <r>
      <rPr>
        <b/>
        <vertAlign val="subscript"/>
        <sz val="14"/>
        <color indexed="8"/>
        <rFont val="Times New Roman"/>
        <family val="1"/>
        <charset val="204"/>
      </rPr>
      <t xml:space="preserve"> </t>
    </r>
    <r>
      <rPr>
        <sz val="14"/>
        <color indexed="8"/>
        <rFont val="Times New Roman"/>
        <family val="1"/>
        <charset val="204"/>
      </rPr>
      <t>виставляється залежно від ступеня реалізації показника:</t>
    </r>
  </si>
  <si>
    <r>
      <t>К</t>
    </r>
    <r>
      <rPr>
        <b/>
        <vertAlign val="subscript"/>
        <sz val="14"/>
        <color indexed="8"/>
        <rFont val="Times New Roman"/>
        <family val="1"/>
        <charset val="204"/>
      </rPr>
      <t>n</t>
    </r>
    <r>
      <rPr>
        <b/>
        <sz val="14"/>
        <color indexed="8"/>
        <rFont val="Times New Roman"/>
        <family val="1"/>
        <charset val="204"/>
      </rPr>
      <t xml:space="preserve">= 0 </t>
    </r>
    <r>
      <rPr>
        <sz val="14"/>
        <color indexed="8"/>
        <rFont val="Times New Roman"/>
        <family val="1"/>
        <charset val="204"/>
      </rPr>
      <t>– показник відсутній;</t>
    </r>
  </si>
  <si>
    <r>
      <t>К</t>
    </r>
    <r>
      <rPr>
        <b/>
        <vertAlign val="subscript"/>
        <sz val="14"/>
        <color indexed="8"/>
        <rFont val="Times New Roman"/>
        <family val="1"/>
        <charset val="204"/>
      </rPr>
      <t xml:space="preserve">n </t>
    </r>
    <r>
      <rPr>
        <b/>
        <sz val="14"/>
        <color indexed="8"/>
        <rFont val="Times New Roman"/>
        <family val="1"/>
        <charset val="204"/>
      </rPr>
      <t xml:space="preserve">= 0,25 </t>
    </r>
    <r>
      <rPr>
        <sz val="14"/>
        <color indexed="8"/>
        <rFont val="Times New Roman"/>
        <family val="1"/>
        <charset val="204"/>
      </rPr>
      <t>– показник проявляється рідко;</t>
    </r>
  </si>
  <si>
    <r>
      <t>К</t>
    </r>
    <r>
      <rPr>
        <b/>
        <vertAlign val="subscript"/>
        <sz val="14"/>
        <color indexed="8"/>
        <rFont val="Times New Roman"/>
        <family val="1"/>
        <charset val="204"/>
      </rPr>
      <t xml:space="preserve">n </t>
    </r>
    <r>
      <rPr>
        <b/>
        <sz val="14"/>
        <color indexed="8"/>
        <rFont val="Times New Roman"/>
        <family val="1"/>
        <charset val="204"/>
      </rPr>
      <t xml:space="preserve">= 0,5 </t>
    </r>
    <r>
      <rPr>
        <sz val="14"/>
        <color indexed="8"/>
        <rFont val="Times New Roman"/>
        <family val="1"/>
        <charset val="204"/>
      </rPr>
      <t>– показник недостатньо виражений;</t>
    </r>
  </si>
  <si>
    <r>
      <t>К</t>
    </r>
    <r>
      <rPr>
        <b/>
        <vertAlign val="subscript"/>
        <sz val="14"/>
        <color indexed="8"/>
        <rFont val="Times New Roman"/>
        <family val="1"/>
        <charset val="204"/>
      </rPr>
      <t xml:space="preserve">n </t>
    </r>
    <r>
      <rPr>
        <b/>
        <sz val="14"/>
        <color indexed="8"/>
        <rFont val="Times New Roman"/>
        <family val="1"/>
        <charset val="204"/>
      </rPr>
      <t xml:space="preserve">= 0,75 </t>
    </r>
    <r>
      <rPr>
        <sz val="14"/>
        <color indexed="8"/>
        <rFont val="Times New Roman"/>
        <family val="1"/>
        <charset val="204"/>
      </rPr>
      <t>– показник проявляється часто і достатньо виражений;</t>
    </r>
  </si>
  <si>
    <r>
      <t>К</t>
    </r>
    <r>
      <rPr>
        <b/>
        <vertAlign val="subscript"/>
        <sz val="14"/>
        <color indexed="8"/>
        <rFont val="Times New Roman"/>
        <family val="1"/>
        <charset val="204"/>
      </rPr>
      <t xml:space="preserve">n </t>
    </r>
    <r>
      <rPr>
        <b/>
        <sz val="14"/>
        <color indexed="8"/>
        <rFont val="Times New Roman"/>
        <family val="1"/>
        <charset val="204"/>
      </rPr>
      <t xml:space="preserve">= 1 </t>
    </r>
    <r>
      <rPr>
        <sz val="14"/>
        <color indexed="8"/>
        <rFont val="Times New Roman"/>
        <family val="1"/>
        <charset val="204"/>
      </rPr>
      <t>– показник проявляється і виражений оптимально.</t>
    </r>
  </si>
  <si>
    <r>
      <t>Загальний рівень діяльності: F=F</t>
    </r>
    <r>
      <rPr>
        <b/>
        <vertAlign val="subscript"/>
        <sz val="14"/>
        <color indexed="8"/>
        <rFont val="Times New Roman"/>
        <family val="1"/>
        <charset val="204"/>
      </rPr>
      <t>1</t>
    </r>
    <r>
      <rPr>
        <b/>
        <sz val="14"/>
        <color indexed="8"/>
        <rFont val="Times New Roman"/>
        <family val="1"/>
        <charset val="204"/>
      </rPr>
      <t>+ F</t>
    </r>
    <r>
      <rPr>
        <b/>
        <vertAlign val="subscript"/>
        <sz val="14"/>
        <color indexed="8"/>
        <rFont val="Times New Roman"/>
        <family val="1"/>
        <charset val="204"/>
      </rPr>
      <t xml:space="preserve"> 2</t>
    </r>
    <r>
      <rPr>
        <b/>
        <sz val="14"/>
        <color indexed="8"/>
        <rFont val="Times New Roman"/>
        <family val="1"/>
        <charset val="204"/>
      </rPr>
      <t>+ F</t>
    </r>
    <r>
      <rPr>
        <b/>
        <vertAlign val="subscript"/>
        <sz val="14"/>
        <color indexed="8"/>
        <rFont val="Times New Roman"/>
        <family val="1"/>
        <charset val="204"/>
      </rPr>
      <t xml:space="preserve"> 3</t>
    </r>
    <r>
      <rPr>
        <b/>
        <sz val="14"/>
        <color indexed="8"/>
        <rFont val="Times New Roman"/>
        <family val="1"/>
        <charset val="204"/>
      </rPr>
      <t>+ F</t>
    </r>
    <r>
      <rPr>
        <b/>
        <vertAlign val="subscript"/>
        <sz val="14"/>
        <color indexed="8"/>
        <rFont val="Times New Roman"/>
        <family val="1"/>
        <charset val="204"/>
      </rPr>
      <t>4</t>
    </r>
    <r>
      <rPr>
        <b/>
        <sz val="14"/>
        <color indexed="8"/>
        <rFont val="Times New Roman"/>
        <family val="1"/>
        <charset val="204"/>
      </rPr>
      <t>….</t>
    </r>
  </si>
  <si>
    <r>
      <t xml:space="preserve">Відповідно до отриманих результатів </t>
    </r>
    <r>
      <rPr>
        <b/>
        <sz val="14"/>
        <color indexed="8"/>
        <rFont val="Times New Roman"/>
        <family val="1"/>
        <charset val="204"/>
      </rPr>
      <t>визначається рівень</t>
    </r>
    <r>
      <rPr>
        <sz val="14"/>
        <color indexed="8"/>
        <rFont val="Times New Roman"/>
        <family val="1"/>
        <charset val="204"/>
      </rPr>
      <t xml:space="preserve"> управлінської діяльності:</t>
    </r>
  </si>
  <si>
    <r>
      <t xml:space="preserve">0 &lt; F ≤ 0,5 </t>
    </r>
    <r>
      <rPr>
        <sz val="14"/>
        <color indexed="8"/>
        <rFont val="Times New Roman"/>
        <family val="1"/>
        <charset val="204"/>
      </rPr>
      <t>– рівень низький;</t>
    </r>
  </si>
  <si>
    <r>
      <t xml:space="preserve">0,5 &lt; F ≤ 0,65 </t>
    </r>
    <r>
      <rPr>
        <sz val="14"/>
        <color indexed="8"/>
        <rFont val="Times New Roman"/>
        <family val="1"/>
        <charset val="204"/>
      </rPr>
      <t>– рівень середній;</t>
    </r>
  </si>
  <si>
    <r>
      <t xml:space="preserve">0,65 &lt; F ≤ 0,85 </t>
    </r>
    <r>
      <rPr>
        <sz val="14"/>
        <color indexed="8"/>
        <rFont val="Times New Roman"/>
        <family val="1"/>
        <charset val="204"/>
      </rPr>
      <t>– рівень достатній;</t>
    </r>
  </si>
  <si>
    <r>
      <t xml:space="preserve">0,85 &lt; F ≤ 1 </t>
    </r>
    <r>
      <rPr>
        <sz val="14"/>
        <color indexed="8"/>
        <rFont val="Times New Roman"/>
        <family val="1"/>
        <charset val="204"/>
      </rPr>
      <t>– рівень високий.</t>
    </r>
  </si>
  <si>
    <r>
      <rPr>
        <b/>
        <sz val="18"/>
        <color indexed="8"/>
        <rFont val="Times New Roman"/>
        <family val="1"/>
        <charset val="204"/>
      </rPr>
      <t>Протокол</t>
    </r>
    <r>
      <rPr>
        <sz val="18"/>
        <color indexed="8"/>
        <rFont val="Times New Roman"/>
        <family val="1"/>
        <charset val="204"/>
      </rPr>
      <t xml:space="preserve"> 
вивчення стану управлінської діяльності 
  щодо організації фізкультурно-оздоровчої та спортивно-масової роботи  
у загальноосвітньому навчальному закладі № _______
_____________________________________________ району</t>
    </r>
  </si>
  <si>
    <t>Нормативно-правове забезпечення з фізичної культури та спорту</t>
  </si>
  <si>
    <t xml:space="preserve">Наявність та зберігання нормативно-правових документів з фізичної культури та спорту </t>
  </si>
  <si>
    <t xml:space="preserve">Систематизація нормативно-правових документів з фізичної культури та спорту </t>
  </si>
  <si>
    <t>Своєчасність і повнота доведення інформації з питань фізичної культури та спорту до учасників навчально-виховного процесу (наявність протоколів педрад, нарад, зборів, наказів та їх змістовність)</t>
  </si>
  <si>
    <t>Наявність навчальних програм з фізичної культури та спеціальних медичних груп</t>
  </si>
  <si>
    <t>Кадрове забезпечення</t>
  </si>
  <si>
    <t xml:space="preserve">Забезпечення  викладання уроків фізичної культури спеціалістами, у тому числі початкової школи </t>
  </si>
  <si>
    <t>Дотримання вимог проходження курсів підвищення кваліфікації</t>
  </si>
  <si>
    <t>Наявність документів щодо присвоєння категорій  вчителям фізичної культури</t>
  </si>
  <si>
    <t>Наявність окремого розділу у плані роботи закладу</t>
  </si>
  <si>
    <t xml:space="preserve">Наявність відповідних наказів щодо організації фізкультурно-оздоровчої роботи </t>
  </si>
  <si>
    <t>Наявність наказів щодо розподілу учнів на групи за станом здоров'я для занять фізичною культурою</t>
  </si>
  <si>
    <t xml:space="preserve">Фізкультурно-оздоровча робота </t>
  </si>
  <si>
    <t>Фізкультурно-оздоровчі заходи у режимі навчального дня</t>
  </si>
  <si>
    <t>Введення третього уроку фізичної культури по ступенням школи</t>
  </si>
  <si>
    <t>Наявність  розкладу занять та дотримання санітарно-гігієничних вимог щодо викладання уроків фізичної культури</t>
  </si>
  <si>
    <t>Спортивно-масова робота та наявність відповідної документації</t>
  </si>
  <si>
    <t>Наявність плану спортивно-масових заходів</t>
  </si>
  <si>
    <t>Наявність Положень про проведення змагання</t>
  </si>
  <si>
    <t>Наявність наказів по школі на проведення змагань</t>
  </si>
  <si>
    <t>Наявність документації про проведення змагань (протоколи, заявки, звіти головного суд'ї тощо)</t>
  </si>
  <si>
    <t>Наявність журналу обліку спортивно-масових заходів</t>
  </si>
  <si>
    <t>Наявність журналів з безпеки життєдіяльності та відповідних інструкцій</t>
  </si>
  <si>
    <t>Наявність актів-доволів на експлуатацію спортивних залів та актів-випробувань надійності кріплення спортивного обладнання</t>
  </si>
  <si>
    <t>Матеріально-спортивна база та наочна агітація</t>
  </si>
  <si>
    <t xml:space="preserve">Наявність спортивних залів </t>
  </si>
  <si>
    <t>Стан спортивних залів</t>
  </si>
  <si>
    <t xml:space="preserve">Наявність спортивного інвентаря </t>
  </si>
  <si>
    <t>Стан спортивного інвентаря</t>
  </si>
  <si>
    <t>Наявність спортивного майданчика</t>
  </si>
  <si>
    <t xml:space="preserve">Стан спортивного майданчика </t>
  </si>
  <si>
    <t xml:space="preserve">Наявність нестандартного обладнання </t>
  </si>
  <si>
    <t xml:space="preserve">Стан нестандартного обладнання </t>
  </si>
  <si>
    <t>Придбання спортивного інвентаря (що, коли, кількість</t>
  </si>
  <si>
    <t>Наявність роздягалень,</t>
  </si>
  <si>
    <t>Стан роздягалень</t>
  </si>
  <si>
    <t>Наявність агітаційних стендів</t>
  </si>
  <si>
    <t xml:space="preserve">Зміст агітаційних стендів, естетичне оформлення </t>
  </si>
  <si>
    <t xml:space="preserve">Шкільне методичне об'єднання </t>
  </si>
  <si>
    <t>Наявність плану роботи та актуальність питань, що розглядаються</t>
  </si>
  <si>
    <t>Наявність протоколів засідань</t>
  </si>
  <si>
    <t>Наявність матеріалів щодо контролю за організацією  фізкультурно-оздоровчої та спортивно-масової роботи  директора закладу</t>
  </si>
  <si>
    <t>Наявність матеріалів щодо контролю за організацією  фізкультурно-оздоровчої та спортивно-масової роботи  заступників директора закладу</t>
  </si>
  <si>
    <t>Урок фізичної культури</t>
  </si>
  <si>
    <t>Нормативність ведення класного журналу на відповідних сторінках</t>
  </si>
  <si>
    <t>Наявність плану-графіку розподілу навчального матеріалу на семестр, навчальний рік</t>
  </si>
  <si>
    <t>Наявність планів-конспектів уроку</t>
  </si>
  <si>
    <t>Нормативність ведення журналів реєстрації  інструктажів з безпеки життєдіяльності</t>
  </si>
  <si>
    <t>Наявність листків здоров'я у класних журналах</t>
  </si>
  <si>
    <t>Робота під уроку з дітьми, які за станом здоров'я віднесені до підготовчої групи та спеціальної медичної групи</t>
  </si>
  <si>
    <t xml:space="preserve">Протокол перевірки РУО з питань фізичної культури
</t>
  </si>
  <si>
    <t xml:space="preserve">Наявність нормативних документів з питань організації фізичного виховання </t>
  </si>
  <si>
    <t xml:space="preserve"> Своєчасність і повнота доведення інформації з питань фізичної культури до ЗНЗ (наявність протоколів нарад, зборів, наказів та їх змістовність тощо)</t>
  </si>
  <si>
    <t>Організація роботи районного  управління освіти з питань фізичного виховання - план роботи РУО (РМК) (накази, протоколи,листи реєстрації, розробки, рекомендації)</t>
  </si>
  <si>
    <t>Наявність Положення про проведення районної спартакіади  з видів спорту</t>
  </si>
  <si>
    <t>Наявність зведеної таблиці проведення районної спартакіади  з видів спорту</t>
  </si>
  <si>
    <t>Робота з учнями, що віднесені за станом здоров’я до спеціальної медичної групи</t>
  </si>
  <si>
    <t>Здійснення моніторінгу стану здоров'я дітей шкільного віку</t>
  </si>
  <si>
    <t>План роботи районного  методичного об’єднання вчителів фізичної культури. Протоколи засідань.</t>
  </si>
  <si>
    <t>Програмно-методичне забезпечення викладання фізичної культури</t>
  </si>
  <si>
    <t>Інформація про матеріально-технічних стан спортивних баз ЗНЗ відповідно до Переліку</t>
  </si>
  <si>
    <t xml:space="preserve">Матеріали проведення щорічного огляду-конкурсу на кращий стан фізичного виховання в навчальних закладах   </t>
  </si>
  <si>
    <t>Укомплектованість педагогічними кадрами. Педагогічне навантаження вчителів фізичної культури (книга особового складу педагогічних працівників, наказ про тарифікацію)</t>
  </si>
  <si>
    <t>Забезпечення викладання фізичної культури фахівцями з фізичної культури в початковій, основній та старшій школі.</t>
  </si>
  <si>
    <t>Наявність матеріалів щодо підвищення кваліфікації та атестації учителів фізичної культури</t>
  </si>
  <si>
    <t>Контроль за станом викладання фізичної культури. Перспективний план вивчення стану викладання фізичної культури.</t>
  </si>
  <si>
    <t>Моніторинг навчальних досягнень учнів з даного предмета</t>
  </si>
  <si>
    <t>Звіти ЗНЗ за навчальний рік про проведення фізкультурно-оздоровчої та спортивно-масової роботи</t>
  </si>
  <si>
    <t xml:space="preserve">Аналіз роботи навчальних закладів з питань розвитку фізичного виховання і проведення позашкільної фізкультурно-оздоровчої роботи </t>
  </si>
  <si>
    <t xml:space="preserve">Наявність статистичних звітів (2 ФК) та ведення їх відповідно до нормативних вимог та рекомендацій </t>
  </si>
  <si>
    <t>Проведення районної Спартакіада за програмою "Спорт протягом життя" (звіти головних суддів, протоколи, таблиця оцінки виступів)</t>
  </si>
  <si>
    <t>Наявність аналізу виступу збірних команд району в обласних  та міських змаганнях за програмою “Спорт протягом життя” за минулий рік, висновки, завдання на поточний рік</t>
  </si>
  <si>
    <r>
      <t xml:space="preserve">Наявність матеріалів, що підтверджують узагальнення на рівні навчального закладу, району досвіду роботи </t>
    </r>
    <r>
      <rPr>
        <sz val="18"/>
        <rFont val="Brush Script MT"/>
        <family val="4"/>
      </rPr>
      <t>вихователів</t>
    </r>
    <r>
      <rPr>
        <sz val="18"/>
        <color indexed="8"/>
        <rFont val="Brush Script MT"/>
        <family val="4"/>
      </rPr>
      <t>, що запроваджують у системі інформаційно-комунікаційні технології (протоколи засідань педагогічної ради тощо).</t>
    </r>
  </si>
  <si>
    <t>Нормативність ведення журналів обліку вхідних та вихідних документів та їх своєчасна реєстрація</t>
  </si>
  <si>
    <t>Наявність відповідних вхідних та вихідних документів</t>
  </si>
  <si>
    <t>Нормативність ведення протоколів загальних зборів трудового колективу</t>
  </si>
  <si>
    <t>Наявність та змістовність матеріалів до проведення загальних зборів трудового колективу</t>
  </si>
  <si>
    <t xml:space="preserve">Нормативність ведення календарних та перспективних планів педагогічними працівниками ДНЗ </t>
  </si>
  <si>
    <t>Наявність та змістовність документів (довідки, плани, звіти тощо) експертизи рівнів досягнень дітей (6-й рік життя) відповідно до вимого Базового компоненту дошкільної освіти</t>
  </si>
  <si>
    <t>Нормативність ведення  документації по роботі з батьками вихованців</t>
  </si>
  <si>
    <t xml:space="preserve">Нормативність ведення протоколів батьківських зборів (загальних, групових), засідань батьківських комітетів і щорічного звітування керівників </t>
  </si>
  <si>
    <t>Наявність відповідних матеріалів до проведення батьківських зборів, засідань батьківських комітетів та щорічного звітування керівника</t>
  </si>
  <si>
    <t>Нормативність ведення книги реєстрації  протоколів батьківських зборів (загальних)</t>
  </si>
  <si>
    <t>Нормативність ведення книги реєстрації наказів з основної діяльності</t>
  </si>
  <si>
    <t>Оптимальність визначення строків; зазначення відповідальних; доведення змісту наказів до відома працівників із підписом про ознайомлення</t>
  </si>
  <si>
    <t>Нормативність ведення книги наказів (прошиті, пронумеровані, скріплені печаткою), конкретність поставлених перед педагогічним колективом завдань</t>
  </si>
  <si>
    <t>Нормативність ведення завідувачем, вихователем-методистом книг (щоденників) обліку наслідків внутрішнього контролю (відповідність мети відвідування заходів річному (перспективному) плану роботи, обґрунтованість та повнота висновків, пропозицій)</t>
  </si>
  <si>
    <t>Результативність контрольно-аналітичної діяльності (де обговорювалися, розглядалися питання, наявність та змістовність довідок, інформацій, наказів, рішень педрад тощо)</t>
  </si>
  <si>
    <t>Здійснення контролю за виконанням прийнятих рішень. Системність та ефективність контролю за діяльністю виконавців</t>
  </si>
  <si>
    <t>Ґрунтовність розділу «Контрольно-аналітична діяльність» у річному плані роботи ДНЗ</t>
  </si>
  <si>
    <t>Ведення документації державною мовою, крім випадків, передбачених  Законом України «Про засади державної мовної політики».</t>
  </si>
  <si>
    <t>Дата проведення експертизи ___.___.2013.</t>
  </si>
  <si>
    <t>вивчення стану управлінської діяльності в управліннях освіти з питань фінансово-господарської діяльності</t>
  </si>
  <si>
    <t>F2=m2(V7K7+V8K8)</t>
  </si>
  <si>
    <t>F3=m3(V9K9+V10K10+V11K11+V12K12+V13K13+V14K14+V15K15+V16K16+V17K17)</t>
  </si>
  <si>
    <r>
      <t>V</t>
    </r>
    <r>
      <rPr>
        <vertAlign val="subscript"/>
        <sz val="12"/>
        <color indexed="8"/>
        <rFont val="Times New Roman"/>
        <family val="1"/>
        <charset val="204"/>
      </rPr>
      <t>18</t>
    </r>
    <r>
      <rPr>
        <sz val="12"/>
        <color indexed="8"/>
        <rFont val="Times New Roman"/>
        <family val="1"/>
        <charset val="204"/>
      </rPr>
      <t>=</t>
    </r>
  </si>
  <si>
    <r>
      <t>K</t>
    </r>
    <r>
      <rPr>
        <vertAlign val="subscript"/>
        <sz val="12"/>
        <color indexed="8"/>
        <rFont val="Times New Roman"/>
        <family val="1"/>
        <charset val="204"/>
      </rPr>
      <t xml:space="preserve">18 </t>
    </r>
    <r>
      <rPr>
        <sz val="12"/>
        <color indexed="8"/>
        <rFont val="Times New Roman"/>
        <family val="1"/>
        <charset val="204"/>
      </rPr>
      <t>=</t>
    </r>
  </si>
  <si>
    <t>F4=m4(V18K18+V19K19+V20K20+V21K21)</t>
  </si>
  <si>
    <r>
      <t>V</t>
    </r>
    <r>
      <rPr>
        <vertAlign val="subscript"/>
        <sz val="12"/>
        <color indexed="8"/>
        <rFont val="Times New Roman"/>
        <family val="1"/>
        <charset val="204"/>
      </rPr>
      <t xml:space="preserve">20 </t>
    </r>
    <r>
      <rPr>
        <sz val="12"/>
        <color indexed="8"/>
        <rFont val="Times New Roman"/>
        <family val="1"/>
        <charset val="204"/>
      </rPr>
      <t>=</t>
    </r>
  </si>
  <si>
    <t>вивчення стану управлінської діяльності управління освіти адміністрації району щодо організації відпочинку та оздоровлення учнів загальноосвітніх навчальних закладів</t>
  </si>
  <si>
    <t xml:space="preserve">Врахування нормативно-правових вимог щодо організації  відпочинку та оздоровлення учнів </t>
  </si>
  <si>
    <t>Планування роботи щодо організації  відпочинку та оздоровлення учнів  (включення питання для розгляду на  нарадах, колегіях,  зборах; видання наказів;  розміщення інформації на сайті УО тощо).</t>
  </si>
  <si>
    <t>Планування роботи щодо організації відпочинку  дітей пільгових  категорій</t>
  </si>
  <si>
    <t>Проведення моніторінгу щодо  відпочинку та оздоровлення дітей у районі</t>
  </si>
  <si>
    <t>Створення системи контролю та аналізу щодо організації  відпочинку та оздоровлення учнів ЗНЗ  району</t>
  </si>
  <si>
    <t>Забезпечення  системності контролю за  дотриманням нормативних вимог щодо організації  відпочинку та оздоровлення учнів у таборах, створених на базі навчальних закладів.</t>
  </si>
  <si>
    <t>Дотримання нормативних вимог щодо організації відпочинку та оздоровлення дітей пільгового контингенту.</t>
  </si>
  <si>
    <t>Наявність матеріалів щодо підготовки та відкриття дитячих закладів відпочинку та оздоровлення</t>
  </si>
  <si>
    <t>Стан роботи зі звітною інформацією з питання еспертизи (правильність ведення обліку, своєчасність надання).</t>
  </si>
  <si>
    <t>Стан роботи щодо здійснення перевірок  організації  відпочинку та оздоровлення учнів навчальних закладів</t>
  </si>
  <si>
    <t xml:space="preserve">  Сформованість матеріалів зворотної інформації  навчальних закладів  </t>
  </si>
  <si>
    <t>Організація роботи щодо відпочинку та оздоровлення учнів</t>
  </si>
  <si>
    <t xml:space="preserve"> Організація роботи щодо своєчасного і повного доведення інформації   про організацію роботи таборів відпочинку на базі навчальних закладів </t>
  </si>
  <si>
    <t>Визначення напрямків та форм відпочинку та оздоровлення дітей улітку 2012 року.</t>
  </si>
  <si>
    <t>Стан координаційної роботи з підготовки до літнього відпочинку та оздоровлення  з  відповідними установами та організаціями щодо своєчасного відкриття таборів на базі навчальних закладів</t>
  </si>
  <si>
    <t>Стан роботи щодо проведення навчання посадових осіб з охорони праці</t>
  </si>
  <si>
    <t>Наявність плану дислокації таборів, банку даних дітей пільгових категорій</t>
  </si>
  <si>
    <t>Організація роботи з дітьми, схильними до правопорушень тощо</t>
  </si>
  <si>
    <t>Стан роботи щодо співпраці з позашкільними навчальними закладами</t>
  </si>
  <si>
    <t>Стан роботи щодо організації харчування</t>
  </si>
  <si>
    <t>Стан роботи щодо організації  медичного обслуговування</t>
  </si>
  <si>
    <t>вивчення стану   управлінської діяльності щодо виконання мовного законодавства у загальноосвітніх навчальних закладах</t>
  </si>
  <si>
    <t xml:space="preserve"> Інформаційно-нормативне забезпечення, виконання державних та регіональних програм </t>
  </si>
  <si>
    <t>Наявність відповідної нормативно-правової документації</t>
  </si>
  <si>
    <t>Наявність відповідних заходів на виконання програм</t>
  </si>
  <si>
    <t>Наявність звітності щодо виконання програм</t>
  </si>
  <si>
    <t>Відповідність  статутних положень у частині статусу навчального закладу, мови навчання</t>
  </si>
  <si>
    <t xml:space="preserve"> Впровадження профільного навчання в 10-11 кл</t>
  </si>
  <si>
    <t>Впровадження поглибленого вивчення  предметів  української філології</t>
  </si>
  <si>
    <t xml:space="preserve">Ґрунтовність аналізу роботи за минулий навчальний рік  </t>
  </si>
  <si>
    <t>Наявність розділу, заходів з питання, врахування нормативно-правових вимог  з питання розвитку і впровадження державної мовної політики</t>
  </si>
  <si>
    <t xml:space="preserve">Робочий навчальний план, 
навчальні програми
</t>
  </si>
  <si>
    <t>Нормативність щодо мови навчання</t>
  </si>
  <si>
    <t>Нормативність щодо  впровадження профільного навчання в 10-11 кл</t>
  </si>
  <si>
    <t>Нормативність щодо  впровадження поглибленого вивчення  предметів  української філології</t>
  </si>
  <si>
    <t>Нормативність щодо   використання варіативної частини навчального плану</t>
  </si>
  <si>
    <t>Наступність</t>
  </si>
  <si>
    <t>Наявність та відповідність визначених законодавством України навчальних програм</t>
  </si>
  <si>
    <t>Стан роботи щодо виконання мовного законодавства</t>
  </si>
  <si>
    <t>Організація роботи щодо вивчення викладання українською мовою базових дисциплін</t>
  </si>
  <si>
    <t>Наявність узагальнених матеріалів за підсумками контролю, їх якість та змістовність  (наказ, довідка тощо)</t>
  </si>
  <si>
    <t>Наявність та якість плану заходів (інформація про усунення недоліків, виявлених під час вивчення стану викладання українською мовою базових дисциплін)</t>
  </si>
  <si>
    <t>Удосконалення мережі загальноосвітніх навчальних закладів освіти з українською мовою навчання</t>
  </si>
  <si>
    <t>Змінність в мережі класів з українською мовою навчання протягм трьох років; відсоток учнів школи, які навчаються українською мовою</t>
  </si>
  <si>
    <t xml:space="preserve">Наявність аналізу відповідності мережі   культурним потребам та демографічному складу населення </t>
  </si>
  <si>
    <t>Мовна територіальна відповідність дошкільних закладів</t>
  </si>
  <si>
    <t>Наявність перспективного плану розвитку мережі</t>
  </si>
  <si>
    <t>Стан ведення ділової документації</t>
  </si>
  <si>
    <t>Стан ведення протоколи  зборів, засідань та нарад, класних журналів, журналів індивідуального навчання, зошитів,щоденників тощо</t>
  </si>
  <si>
    <t>Матеріали роботи методичних об`єднання вчителів</t>
  </si>
  <si>
    <t>Організація   діагностичної та корекційної роботи за напрямом, що вивчається</t>
  </si>
  <si>
    <t xml:space="preserve">4.3. Відповідність аналітичної та статистичної звітності про виконану роботу вимогам листа МОНу № 1/9-352 від 27.08.2000, дод.3. </t>
  </si>
  <si>
    <t>4.6. Наявність   інструментарію   щодо   виявлення обдарованих учнів.</t>
  </si>
  <si>
    <r>
      <rPr>
        <sz val="12"/>
        <color indexed="8"/>
        <rFont val="Times New Roman"/>
        <family val="1"/>
        <charset val="204"/>
      </rPr>
      <t xml:space="preserve"> 
              Директор Департаменту освіти                                                                   О.І. Деменко
</t>
    </r>
    <r>
      <rPr>
        <sz val="10"/>
        <color indexed="8"/>
        <rFont val="Times New Roman"/>
        <family val="1"/>
        <charset val="204"/>
      </rPr>
      <t>Калініченко О.В.</t>
    </r>
    <r>
      <rPr>
        <b/>
        <sz val="12"/>
        <color indexed="8"/>
        <rFont val="Times New Roman"/>
        <family val="1"/>
        <charset val="204"/>
      </rPr>
      <t xml:space="preserve">
</t>
    </r>
  </si>
  <si>
    <t>Вага</t>
  </si>
  <si>
    <t>Ваго-мість</t>
  </si>
  <si>
    <t xml:space="preserve">1.3. Наявність нормативно-правової бази (наявність Комплексної програми розвитку освіти м. Харкова на 2011-2015 роки (розділ 4.3.1. «Обдарована молодь». Розвиток системи роботи з обдарованою молоддю); районних заходів щодо виконання у 2012 році розділу «Обдарована молодь» Комплексної програми розвитку освіти        м. Харкова на 2011-2015 роки).
</t>
  </si>
  <si>
    <t>1.1. Наявність законодавчих та нормативних документів.</t>
  </si>
  <si>
    <t>1.2. Рівень систематизації існуючої інформації.</t>
  </si>
  <si>
    <t>2.2 Наявність кабінету, сейфу або шафи, що зачиняється.</t>
  </si>
  <si>
    <t>2.3. Доцільність використання робочого часу: режим   роботи   психолога,   затверджений керівником закладу.</t>
  </si>
  <si>
    <t>3.3. Доцільність використання бібліотечного фонду та підписних видань.</t>
  </si>
  <si>
    <t>3.4. Наявність тестотеки  застосованих  методик.</t>
  </si>
  <si>
    <t>3.5. Відповідність методичних матеріалів нормативним вимогам.</t>
  </si>
  <si>
    <t>3.6. Наявність наочно-демонстративного та роздаткового матеріалу.</t>
  </si>
  <si>
    <t>4.7. Наявність оброблених результатів щодо виявлення обдарованих учнів.</t>
  </si>
  <si>
    <t>4.8. Наявність банку даних обдарованих учнів.</t>
  </si>
  <si>
    <t>4.5. Наявність   індивідуальних карток психолого-педагогічного діагностування.</t>
  </si>
  <si>
    <t>4.4. Наявність планів тренінгів, корекційних та розвивальних занять для обдарованих учнів.</t>
  </si>
  <si>
    <t>4.2. Наявність журналу проведення корекційно-відновлюваної та розвивальної роботи.</t>
  </si>
  <si>
    <t>3.2. Наявність сторінки на сайті, підключення до мережі інтернет.</t>
  </si>
  <si>
    <t>3.1. Наявність комп'ютеру.</t>
  </si>
  <si>
    <t>_______._______.2014</t>
  </si>
  <si>
    <t xml:space="preserve"> визначення рівня організації роботи  методистів з психологічних служб  управлінь освіти адміністрацій районів Харківської міської ради, спрямованої на пошук соціально обдарованих дітей та молоді </t>
  </si>
  <si>
    <t xml:space="preserve"> 2.1. Забезпеченість фахівцями відповідно до нормативів чисельності Положення про психологічну службу.</t>
  </si>
  <si>
    <t>4.1. Стан відображення в річному плані діагностичного  напряму роботи  щодо визначення соціально обдарованих учнів та  планування корекційної роботи.</t>
  </si>
  <si>
    <t>4.10. Стан здійснення корекційної роботи за даними напрямами. Відстеження динаміки розвитку дітей, які потребують корекційної роботи.</t>
  </si>
  <si>
    <t>4.9. Наявність моніторингу особистісного розвитку обдарованих учнів.</t>
  </si>
  <si>
    <t xml:space="preserve">                                                                        
                                                                                        Додаток
                                                                                                                                до наказу Департаменту освіти
                                                                                                                     Харківської міської ради
                                                                                                                              від 11.03.2014 №41
Протокол</t>
  </si>
</sst>
</file>

<file path=xl/styles.xml><?xml version="1.0" encoding="utf-8"?>
<styleSheet xmlns="http://schemas.openxmlformats.org/spreadsheetml/2006/main">
  <numFmts count="3">
    <numFmt numFmtId="164" formatCode="0.0"/>
    <numFmt numFmtId="165" formatCode="0.000"/>
    <numFmt numFmtId="166" formatCode="0.000000"/>
  </numFmts>
  <fonts count="109">
    <font>
      <sz val="11"/>
      <color theme="1"/>
      <name val="Calibri"/>
      <family val="2"/>
      <charset val="204"/>
      <scheme val="minor"/>
    </font>
    <font>
      <sz val="12"/>
      <color indexed="8"/>
      <name val="Times New Roman"/>
      <family val="1"/>
      <charset val="204"/>
    </font>
    <font>
      <sz val="12"/>
      <name val="Times New Roman"/>
      <family val="1"/>
      <charset val="204"/>
    </font>
    <font>
      <sz val="12"/>
      <color indexed="10"/>
      <name val="Times New Roman"/>
      <family val="1"/>
      <charset val="204"/>
    </font>
    <font>
      <sz val="8"/>
      <name val="Calibri"/>
      <family val="2"/>
      <charset val="204"/>
    </font>
    <font>
      <b/>
      <sz val="12"/>
      <color indexed="8"/>
      <name val="Times New Roman"/>
      <family val="1"/>
      <charset val="204"/>
    </font>
    <font>
      <sz val="12"/>
      <color indexed="8"/>
      <name val="Calibri"/>
      <family val="2"/>
      <charset val="204"/>
    </font>
    <font>
      <b/>
      <sz val="12"/>
      <name val="Times New Roman"/>
      <family val="1"/>
      <charset val="204"/>
    </font>
    <font>
      <b/>
      <sz val="12"/>
      <color indexed="10"/>
      <name val="Times New Roman"/>
      <family val="1"/>
      <charset val="204"/>
    </font>
    <font>
      <sz val="11"/>
      <color indexed="8"/>
      <name val="Calibri"/>
      <family val="2"/>
    </font>
    <font>
      <i/>
      <sz val="12"/>
      <color indexed="8"/>
      <name val="Times New Roman"/>
      <family val="1"/>
      <charset val="204"/>
    </font>
    <font>
      <i/>
      <sz val="12"/>
      <name val="Times New Roman"/>
      <family val="1"/>
      <charset val="204"/>
    </font>
    <font>
      <sz val="12"/>
      <color indexed="8"/>
      <name val="Times New Roman"/>
      <family val="1"/>
      <charset val="204"/>
    </font>
    <font>
      <b/>
      <sz val="12"/>
      <color indexed="8"/>
      <name val="Times New Roman"/>
      <family val="1"/>
      <charset val="204"/>
    </font>
    <font>
      <b/>
      <vertAlign val="subscript"/>
      <sz val="12"/>
      <color indexed="8"/>
      <name val="Times New Roman"/>
      <family val="1"/>
      <charset val="204"/>
    </font>
    <font>
      <vertAlign val="subscript"/>
      <sz val="12"/>
      <color indexed="8"/>
      <name val="Times New Roman"/>
      <family val="1"/>
      <charset val="204"/>
    </font>
    <font>
      <sz val="12"/>
      <color indexed="9"/>
      <name val="Times New Roman"/>
      <family val="1"/>
      <charset val="204"/>
    </font>
    <font>
      <b/>
      <sz val="14"/>
      <color indexed="8"/>
      <name val="Times New Roman"/>
      <family val="1"/>
      <charset val="204"/>
    </font>
    <font>
      <sz val="14"/>
      <color indexed="8"/>
      <name val="Calibri"/>
      <family val="2"/>
      <charset val="204"/>
    </font>
    <font>
      <sz val="14"/>
      <color indexed="8"/>
      <name val="Times New Roman"/>
      <family val="1"/>
      <charset val="204"/>
    </font>
    <font>
      <vertAlign val="subscript"/>
      <sz val="14"/>
      <color indexed="8"/>
      <name val="Times New Roman"/>
      <family val="1"/>
      <charset val="204"/>
    </font>
    <font>
      <sz val="12"/>
      <name val="Calibri"/>
      <family val="2"/>
      <charset val="204"/>
    </font>
    <font>
      <sz val="9"/>
      <name val="Times New Roman"/>
      <family val="1"/>
      <charset val="204"/>
    </font>
    <font>
      <b/>
      <sz val="11"/>
      <color indexed="8"/>
      <name val="Calibri"/>
      <family val="2"/>
      <charset val="204"/>
    </font>
    <font>
      <b/>
      <sz val="12"/>
      <color indexed="8"/>
      <name val="Times New Roman"/>
      <family val="1"/>
      <charset val="204"/>
    </font>
    <font>
      <sz val="12"/>
      <color indexed="8"/>
      <name val="Times New Roman"/>
      <family val="1"/>
      <charset val="204"/>
    </font>
    <font>
      <sz val="12"/>
      <color indexed="8"/>
      <name val="Times New Roman"/>
      <family val="1"/>
      <charset val="204"/>
    </font>
    <font>
      <sz val="12"/>
      <color indexed="10"/>
      <name val="Times New Roman"/>
      <family val="1"/>
      <charset val="204"/>
    </font>
    <font>
      <b/>
      <sz val="12"/>
      <color indexed="10"/>
      <name val="Times New Roman"/>
      <family val="1"/>
      <charset val="204"/>
    </font>
    <font>
      <sz val="12"/>
      <color indexed="8"/>
      <name val="Calibri"/>
      <family val="2"/>
      <charset val="204"/>
    </font>
    <font>
      <b/>
      <sz val="12"/>
      <color indexed="8"/>
      <name val="Calibri"/>
      <family val="2"/>
      <charset val="204"/>
    </font>
    <font>
      <b/>
      <sz val="12"/>
      <color indexed="8"/>
      <name val="Times New Roman"/>
      <family val="1"/>
      <charset val="204"/>
    </font>
    <font>
      <sz val="12"/>
      <name val="Calibri"/>
      <family val="2"/>
      <charset val="204"/>
    </font>
    <font>
      <b/>
      <sz val="12"/>
      <name val="Calibri"/>
      <family val="2"/>
      <charset val="204"/>
    </font>
    <font>
      <b/>
      <sz val="13"/>
      <color indexed="8"/>
      <name val="Times New Roman"/>
      <family val="1"/>
      <charset val="204"/>
    </font>
    <font>
      <sz val="13"/>
      <color indexed="8"/>
      <name val="Times New Roman"/>
      <family val="1"/>
      <charset val="204"/>
    </font>
    <font>
      <b/>
      <sz val="13"/>
      <name val="Times New Roman"/>
      <family val="1"/>
      <charset val="204"/>
    </font>
    <font>
      <sz val="13"/>
      <name val="Times New Roman"/>
      <family val="1"/>
      <charset val="204"/>
    </font>
    <font>
      <sz val="18"/>
      <color indexed="8"/>
      <name val="Times New Roman"/>
      <family val="1"/>
      <charset val="204"/>
    </font>
    <font>
      <sz val="10"/>
      <name val="Times New Roman"/>
      <family val="1"/>
      <charset val="204"/>
    </font>
    <font>
      <sz val="14"/>
      <name val="Times New Roman"/>
      <family val="1"/>
      <charset val="204"/>
    </font>
    <font>
      <sz val="14"/>
      <name val="Arial Cyr"/>
      <charset val="204"/>
    </font>
    <font>
      <sz val="8"/>
      <color indexed="8"/>
      <name val="Times New Roman"/>
      <family val="1"/>
      <charset val="204"/>
    </font>
    <font>
      <vertAlign val="subscript"/>
      <sz val="11"/>
      <color indexed="8"/>
      <name val="Times New Roman"/>
      <family val="1"/>
      <charset val="204"/>
    </font>
    <font>
      <sz val="10"/>
      <color indexed="8"/>
      <name val="Times New Roman"/>
      <family val="1"/>
      <charset val="204"/>
    </font>
    <font>
      <b/>
      <u/>
      <sz val="12"/>
      <name val="Times New Roman"/>
      <family val="1"/>
      <charset val="204"/>
    </font>
    <font>
      <sz val="7"/>
      <color indexed="8"/>
      <name val="Times New Roman"/>
      <family val="1"/>
      <charset val="204"/>
    </font>
    <font>
      <sz val="8"/>
      <name val="Times New Roman"/>
      <family val="1"/>
      <charset val="204"/>
    </font>
    <font>
      <sz val="11"/>
      <color indexed="8"/>
      <name val="Times New Roman"/>
      <family val="1"/>
      <charset val="204"/>
    </font>
    <font>
      <b/>
      <sz val="11"/>
      <color indexed="8"/>
      <name val="Times New Roman"/>
      <family val="1"/>
      <charset val="204"/>
    </font>
    <font>
      <b/>
      <sz val="10"/>
      <color indexed="8"/>
      <name val="Times New Roman"/>
      <family val="1"/>
      <charset val="204"/>
    </font>
    <font>
      <sz val="12"/>
      <color indexed="8"/>
      <name val="Symbol"/>
      <family val="1"/>
      <charset val="2"/>
    </font>
    <font>
      <b/>
      <sz val="11"/>
      <name val="Times New Roman"/>
      <family val="1"/>
      <charset val="204"/>
    </font>
    <font>
      <sz val="13"/>
      <name val="Arial Cyr"/>
      <charset val="204"/>
    </font>
    <font>
      <b/>
      <sz val="14"/>
      <name val="Times New Roman"/>
      <family val="1"/>
      <charset val="204"/>
    </font>
    <font>
      <b/>
      <i/>
      <sz val="14"/>
      <name val="Times New Roman"/>
      <family val="1"/>
      <charset val="204"/>
    </font>
    <font>
      <b/>
      <i/>
      <sz val="12"/>
      <name val="Times New Roman"/>
      <family val="1"/>
      <charset val="204"/>
    </font>
    <font>
      <sz val="11"/>
      <name val="Calibri"/>
      <family val="2"/>
      <charset val="204"/>
    </font>
    <font>
      <b/>
      <sz val="18"/>
      <color indexed="8"/>
      <name val="Times New Roman"/>
      <family val="1"/>
      <charset val="204"/>
    </font>
    <font>
      <b/>
      <sz val="24"/>
      <color indexed="8"/>
      <name val="Calibri"/>
      <family val="2"/>
      <charset val="204"/>
    </font>
    <font>
      <sz val="24"/>
      <color indexed="8"/>
      <name val="Times New Roman"/>
      <family val="1"/>
      <charset val="204"/>
    </font>
    <font>
      <sz val="24"/>
      <name val="Times New Roman"/>
      <family val="1"/>
      <charset val="204"/>
    </font>
    <font>
      <b/>
      <sz val="10"/>
      <name val="Times New Roman"/>
      <family val="1"/>
      <charset val="204"/>
    </font>
    <font>
      <sz val="10"/>
      <name val="Arial Cyr"/>
      <charset val="204"/>
    </font>
    <font>
      <b/>
      <sz val="14"/>
      <color indexed="8"/>
      <name val="Calibri"/>
      <family val="2"/>
      <charset val="204"/>
    </font>
    <font>
      <i/>
      <sz val="14"/>
      <color indexed="8"/>
      <name val="Times New Roman"/>
      <family val="1"/>
      <charset val="204"/>
    </font>
    <font>
      <b/>
      <vertAlign val="subscript"/>
      <sz val="14"/>
      <color indexed="8"/>
      <name val="Times New Roman"/>
      <family val="1"/>
      <charset val="204"/>
    </font>
    <font>
      <sz val="18"/>
      <color indexed="8"/>
      <name val="Brush Script MT"/>
      <family val="4"/>
    </font>
    <font>
      <sz val="18"/>
      <name val="Brush Script MT"/>
      <family val="4"/>
    </font>
    <font>
      <sz val="24"/>
      <color indexed="8"/>
      <name val="Agency FB"/>
      <family val="2"/>
    </font>
    <font>
      <b/>
      <sz val="11"/>
      <color indexed="8"/>
      <name val="Calibri"/>
      <family val="2"/>
      <charset val="204"/>
    </font>
    <font>
      <b/>
      <sz val="13"/>
      <color indexed="8"/>
      <name val="Times New Roman"/>
      <family val="1"/>
      <charset val="204"/>
    </font>
    <font>
      <sz val="11"/>
      <color indexed="8"/>
      <name val="Times New Roman"/>
      <family val="1"/>
      <charset val="204"/>
    </font>
    <font>
      <sz val="12"/>
      <color indexed="8"/>
      <name val="Times New Roman"/>
      <family val="1"/>
      <charset val="204"/>
    </font>
    <font>
      <sz val="13"/>
      <color indexed="8"/>
      <name val="Times New Roman"/>
      <family val="1"/>
      <charset val="204"/>
    </font>
    <font>
      <sz val="18"/>
      <color indexed="8"/>
      <name val="Times New Roman"/>
      <family val="1"/>
      <charset val="204"/>
    </font>
    <font>
      <b/>
      <sz val="12"/>
      <color indexed="10"/>
      <name val="Times New Roman"/>
      <family val="1"/>
      <charset val="204"/>
    </font>
    <font>
      <sz val="12"/>
      <color indexed="8"/>
      <name val="Times New Roman"/>
      <family val="1"/>
      <charset val="204"/>
    </font>
    <font>
      <b/>
      <sz val="12"/>
      <color indexed="8"/>
      <name val="Times New Roman"/>
      <family val="1"/>
      <charset val="204"/>
    </font>
    <font>
      <sz val="14"/>
      <color indexed="8"/>
      <name val="Calibri"/>
      <family val="2"/>
      <charset val="204"/>
    </font>
    <font>
      <b/>
      <sz val="14"/>
      <color indexed="8"/>
      <name val="Times New Roman"/>
      <family val="1"/>
      <charset val="204"/>
    </font>
    <font>
      <sz val="14"/>
      <color indexed="8"/>
      <name val="Times New Roman"/>
      <family val="1"/>
      <charset val="204"/>
    </font>
    <font>
      <b/>
      <sz val="11"/>
      <color indexed="8"/>
      <name val="Times New Roman"/>
      <family val="1"/>
      <charset val="204"/>
    </font>
    <font>
      <b/>
      <sz val="12"/>
      <color indexed="8"/>
      <name val="Times New Roman"/>
      <family val="1"/>
      <charset val="204"/>
    </font>
    <font>
      <b/>
      <sz val="10"/>
      <color indexed="8"/>
      <name val="Times New Roman"/>
      <family val="1"/>
      <charset val="204"/>
    </font>
    <font>
      <sz val="13"/>
      <color indexed="8"/>
      <name val="Times New Roman"/>
      <family val="1"/>
      <charset val="204"/>
    </font>
    <font>
      <sz val="10"/>
      <color indexed="8"/>
      <name val="Times New Roman"/>
      <family val="1"/>
      <charset val="204"/>
    </font>
    <font>
      <sz val="18"/>
      <color indexed="8"/>
      <name val="Calibri"/>
      <family val="2"/>
      <charset val="204"/>
    </font>
    <font>
      <sz val="16"/>
      <color indexed="8"/>
      <name val="Times New Roman"/>
      <family val="1"/>
      <charset val="204"/>
    </font>
    <font>
      <sz val="14"/>
      <color indexed="8"/>
      <name val="Times New Roman"/>
      <family val="1"/>
      <charset val="204"/>
    </font>
    <font>
      <b/>
      <sz val="24"/>
      <color indexed="8"/>
      <name val="Calibri"/>
      <family val="2"/>
      <charset val="204"/>
    </font>
    <font>
      <sz val="16"/>
      <color indexed="8"/>
      <name val="Calibri"/>
      <family val="2"/>
      <charset val="204"/>
    </font>
    <font>
      <b/>
      <sz val="24"/>
      <color indexed="8"/>
      <name val="Times New Roman"/>
      <family val="1"/>
      <charset val="204"/>
    </font>
    <font>
      <sz val="24"/>
      <color indexed="8"/>
      <name val="Times New Roman"/>
      <family val="1"/>
      <charset val="204"/>
    </font>
    <font>
      <sz val="20"/>
      <color indexed="8"/>
      <name val="Times New Roman"/>
      <family val="1"/>
      <charset val="204"/>
    </font>
    <font>
      <b/>
      <sz val="20"/>
      <color indexed="8"/>
      <name val="Times New Roman"/>
      <family val="1"/>
      <charset val="204"/>
    </font>
    <font>
      <b/>
      <sz val="14"/>
      <color indexed="8"/>
      <name val="Calibri"/>
      <family val="2"/>
    </font>
    <font>
      <sz val="12"/>
      <color indexed="8"/>
      <name val="Calibri"/>
      <family val="2"/>
      <charset val="204"/>
    </font>
    <font>
      <b/>
      <sz val="16"/>
      <color indexed="8"/>
      <name val="Calibri"/>
      <family val="2"/>
      <charset val="204"/>
    </font>
    <font>
      <sz val="14"/>
      <color indexed="8"/>
      <name val="Calibri"/>
      <family val="2"/>
    </font>
    <font>
      <sz val="14"/>
      <color indexed="8"/>
      <name val="Brush Script MT"/>
      <family val="4"/>
    </font>
    <font>
      <sz val="18"/>
      <color indexed="8"/>
      <name val="Brush Script MT"/>
      <family val="4"/>
    </font>
    <font>
      <sz val="20"/>
      <color indexed="8"/>
      <name val="Brush Script MT"/>
      <family val="4"/>
    </font>
    <font>
      <sz val="24"/>
      <color indexed="8"/>
      <name val="Agency FB"/>
      <family val="2"/>
    </font>
    <font>
      <sz val="24"/>
      <color indexed="8"/>
      <name val="Calibri"/>
      <family val="2"/>
      <charset val="204"/>
    </font>
    <font>
      <sz val="24"/>
      <name val="Calibri"/>
      <family val="2"/>
      <charset val="204"/>
    </font>
    <font>
      <sz val="24"/>
      <color indexed="10"/>
      <name val="Calibri"/>
      <family val="2"/>
      <charset val="204"/>
    </font>
    <font>
      <sz val="11"/>
      <color theme="1"/>
      <name val="Calibri"/>
      <family val="2"/>
      <charset val="204"/>
      <scheme val="minor"/>
    </font>
    <font>
      <sz val="14"/>
      <color theme="1"/>
      <name val="Calibri"/>
      <family val="2"/>
      <charset val="204"/>
      <scheme val="minor"/>
    </font>
  </fonts>
  <fills count="1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50"/>
        <bgColor indexed="64"/>
      </patternFill>
    </fill>
    <fill>
      <patternFill patternType="solid">
        <fgColor indexed="51"/>
        <bgColor indexed="64"/>
      </patternFill>
    </fill>
    <fill>
      <patternFill patternType="solid">
        <fgColor indexed="45"/>
        <bgColor indexed="64"/>
      </patternFill>
    </fill>
    <fill>
      <patternFill patternType="solid">
        <fgColor indexed="43"/>
        <bgColor indexed="64"/>
      </patternFill>
    </fill>
    <fill>
      <patternFill patternType="solid">
        <fgColor indexed="5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8"/>
      </bottom>
      <diagonal/>
    </border>
  </borders>
  <cellStyleXfs count="4">
    <xf numFmtId="0" fontId="0" fillId="0" borderId="0"/>
    <xf numFmtId="0" fontId="107" fillId="0" borderId="0"/>
    <xf numFmtId="0" fontId="63" fillId="0" borderId="0"/>
    <xf numFmtId="0" fontId="9" fillId="0" borderId="0"/>
  </cellStyleXfs>
  <cellXfs count="1593">
    <xf numFmtId="0" fontId="0" fillId="0" borderId="0" xfId="0"/>
    <xf numFmtId="0" fontId="1" fillId="0" borderId="1" xfId="0" applyFont="1" applyBorder="1" applyAlignment="1">
      <alignment horizontal="center" vertical="top" wrapText="1"/>
    </xf>
    <xf numFmtId="0" fontId="1" fillId="0" borderId="1" xfId="0" applyFont="1" applyBorder="1" applyAlignment="1">
      <alignment vertical="top"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5" fillId="2" borderId="1" xfId="0" applyFont="1" applyFill="1" applyBorder="1" applyAlignment="1">
      <alignment horizontal="center" vertical="top" wrapText="1"/>
    </xf>
    <xf numFmtId="0" fontId="3" fillId="0" borderId="1" xfId="0" applyFont="1" applyBorder="1" applyAlignment="1">
      <alignment vertical="top" wrapText="1"/>
    </xf>
    <xf numFmtId="0" fontId="24" fillId="0" borderId="0" xfId="0" applyFont="1"/>
    <xf numFmtId="0" fontId="6" fillId="0" borderId="0" xfId="0" applyFont="1" applyAlignment="1">
      <alignment vertical="top" wrapText="1"/>
    </xf>
    <xf numFmtId="0" fontId="1" fillId="3" borderId="1" xfId="0" applyFont="1" applyFill="1" applyBorder="1" applyAlignment="1">
      <alignment horizontal="left" vertical="top" wrapText="1"/>
    </xf>
    <xf numFmtId="0" fontId="1" fillId="3" borderId="1" xfId="0" applyFont="1" applyFill="1" applyBorder="1" applyAlignment="1">
      <alignment horizontal="justify" vertical="top" wrapText="1"/>
    </xf>
    <xf numFmtId="0" fontId="1" fillId="3" borderId="1" xfId="0" applyFont="1" applyFill="1" applyBorder="1" applyAlignment="1">
      <alignment horizontal="center" vertical="top" wrapText="1"/>
    </xf>
    <xf numFmtId="0" fontId="1" fillId="3" borderId="1" xfId="0" applyFont="1" applyFill="1" applyBorder="1" applyAlignment="1">
      <alignment vertical="top" wrapText="1"/>
    </xf>
    <xf numFmtId="0" fontId="2" fillId="3" borderId="1" xfId="0" applyFont="1" applyFill="1" applyBorder="1" applyAlignment="1">
      <alignment horizontal="justify" vertical="top" wrapText="1"/>
    </xf>
    <xf numFmtId="0" fontId="2" fillId="3" borderId="1" xfId="0" applyFont="1" applyFill="1" applyBorder="1" applyAlignment="1">
      <alignment vertical="top" wrapText="1"/>
    </xf>
    <xf numFmtId="0" fontId="2"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5" fillId="3" borderId="1" xfId="0" applyFont="1" applyFill="1" applyBorder="1" applyAlignment="1">
      <alignment horizontal="justify" vertical="top" wrapText="1"/>
    </xf>
    <xf numFmtId="0" fontId="25" fillId="3" borderId="1" xfId="0" applyFont="1" applyFill="1" applyBorder="1" applyAlignment="1">
      <alignment horizontal="justify" vertical="top" wrapText="1"/>
    </xf>
    <xf numFmtId="0" fontId="5" fillId="4" borderId="1"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2" fontId="0" fillId="0" borderId="0" xfId="0" applyNumberFormat="1"/>
    <xf numFmtId="0" fontId="7" fillId="3" borderId="1" xfId="0" applyFont="1" applyFill="1" applyBorder="1" applyAlignment="1">
      <alignment vertical="top" wrapText="1"/>
    </xf>
    <xf numFmtId="0" fontId="1" fillId="0" borderId="0" xfId="0" applyFont="1" applyAlignment="1">
      <alignment vertical="top" wrapText="1"/>
    </xf>
    <xf numFmtId="0" fontId="5" fillId="3" borderId="1" xfId="0" applyFont="1" applyFill="1" applyBorder="1" applyAlignment="1">
      <alignment vertical="top" wrapText="1"/>
    </xf>
    <xf numFmtId="0" fontId="5" fillId="5" borderId="1" xfId="0" applyFont="1" applyFill="1" applyBorder="1" applyAlignment="1">
      <alignment horizontal="center" vertical="top" wrapText="1"/>
    </xf>
    <xf numFmtId="0" fontId="5" fillId="5" borderId="1" xfId="0" applyFont="1" applyFill="1" applyBorder="1" applyAlignment="1">
      <alignment horizontal="justify" vertical="top" wrapText="1"/>
    </xf>
    <xf numFmtId="0" fontId="1" fillId="5" borderId="1" xfId="0" applyFont="1" applyFill="1" applyBorder="1" applyAlignment="1">
      <alignment horizontal="center" vertical="top" wrapText="1"/>
    </xf>
    <xf numFmtId="0" fontId="1" fillId="5" borderId="2" xfId="0" applyFont="1" applyFill="1" applyBorder="1" applyAlignment="1">
      <alignment horizontal="center" vertical="top" wrapText="1"/>
    </xf>
    <xf numFmtId="0" fontId="5" fillId="5" borderId="1" xfId="0" applyFont="1" applyFill="1" applyBorder="1" applyAlignment="1">
      <alignment horizontal="left" vertical="top" wrapText="1"/>
    </xf>
    <xf numFmtId="0" fontId="1" fillId="5" borderId="1" xfId="0" applyFont="1" applyFill="1" applyBorder="1" applyAlignment="1">
      <alignment horizontal="justify" vertical="top" wrapText="1"/>
    </xf>
    <xf numFmtId="0" fontId="2" fillId="5" borderId="1" xfId="0" applyFont="1" applyFill="1" applyBorder="1" applyAlignment="1">
      <alignment horizontal="justify" vertical="top" wrapText="1"/>
    </xf>
    <xf numFmtId="0" fontId="2" fillId="5" borderId="1" xfId="0" applyFont="1" applyFill="1" applyBorder="1" applyAlignment="1">
      <alignment horizontal="center" vertical="top" wrapText="1"/>
    </xf>
    <xf numFmtId="0" fontId="5" fillId="5" borderId="1" xfId="0" applyFont="1" applyFill="1" applyBorder="1" applyAlignment="1">
      <alignment vertical="top" wrapText="1"/>
    </xf>
    <xf numFmtId="0" fontId="5" fillId="6" borderId="1" xfId="0" applyFont="1" applyFill="1" applyBorder="1" applyAlignment="1">
      <alignment vertical="top" wrapText="1"/>
    </xf>
    <xf numFmtId="0" fontId="5" fillId="6" borderId="1" xfId="0" applyFont="1" applyFill="1" applyBorder="1" applyAlignment="1">
      <alignment horizontal="justify" vertical="top" wrapText="1"/>
    </xf>
    <xf numFmtId="0" fontId="1" fillId="6" borderId="1" xfId="0" applyFont="1" applyFill="1" applyBorder="1" applyAlignment="1">
      <alignment horizontal="justify" vertical="top" wrapText="1"/>
    </xf>
    <xf numFmtId="0" fontId="1" fillId="6" borderId="1" xfId="0" applyFont="1" applyFill="1" applyBorder="1" applyAlignment="1">
      <alignment horizontal="center" vertical="top" wrapText="1"/>
    </xf>
    <xf numFmtId="0" fontId="1" fillId="6" borderId="1" xfId="0" applyFont="1" applyFill="1" applyBorder="1" applyAlignment="1">
      <alignment vertical="top" wrapText="1"/>
    </xf>
    <xf numFmtId="0" fontId="1" fillId="5" borderId="1" xfId="0" applyFont="1" applyFill="1" applyBorder="1" applyAlignment="1">
      <alignment horizontal="left" vertical="top" wrapText="1"/>
    </xf>
    <xf numFmtId="0" fontId="1" fillId="5" borderId="3" xfId="0" applyFont="1" applyFill="1" applyBorder="1" applyAlignment="1">
      <alignment horizontal="center" vertical="top" wrapText="1"/>
    </xf>
    <xf numFmtId="0" fontId="3" fillId="5" borderId="1" xfId="0" applyFont="1" applyFill="1" applyBorder="1" applyAlignment="1">
      <alignment horizontal="left" vertical="top" wrapText="1"/>
    </xf>
    <xf numFmtId="0" fontId="7" fillId="5" borderId="1" xfId="0" applyFont="1" applyFill="1" applyBorder="1" applyAlignment="1">
      <alignment horizontal="justify" vertical="top" wrapText="1"/>
    </xf>
    <xf numFmtId="0" fontId="1" fillId="5" borderId="1" xfId="0" applyFont="1" applyFill="1" applyBorder="1" applyAlignment="1">
      <alignment vertical="top" wrapText="1"/>
    </xf>
    <xf numFmtId="0" fontId="1" fillId="0" borderId="4" xfId="0" applyFont="1" applyBorder="1" applyAlignment="1">
      <alignment vertical="top" wrapText="1"/>
    </xf>
    <xf numFmtId="0" fontId="1" fillId="5" borderId="5" xfId="0" applyFont="1" applyFill="1" applyBorder="1" applyAlignment="1">
      <alignment vertical="top" wrapText="1"/>
    </xf>
    <xf numFmtId="0" fontId="1" fillId="5" borderId="2" xfId="0" applyFont="1" applyFill="1" applyBorder="1" applyAlignment="1">
      <alignment vertical="top" wrapText="1"/>
    </xf>
    <xf numFmtId="0" fontId="26" fillId="5" borderId="1" xfId="0" applyFont="1" applyFill="1" applyBorder="1" applyAlignment="1">
      <alignment vertical="top" wrapText="1"/>
    </xf>
    <xf numFmtId="0" fontId="27" fillId="5" borderId="1" xfId="0" applyFont="1" applyFill="1" applyBorder="1" applyAlignment="1">
      <alignment horizontal="justify" vertical="top" wrapText="1"/>
    </xf>
    <xf numFmtId="0" fontId="25" fillId="3" borderId="1" xfId="0" applyFont="1" applyFill="1" applyBorder="1" applyAlignment="1">
      <alignment horizontal="center" vertical="top" wrapText="1"/>
    </xf>
    <xf numFmtId="2" fontId="26" fillId="0" borderId="0" xfId="0" applyNumberFormat="1" applyFont="1" applyAlignment="1">
      <alignment vertical="top" wrapText="1"/>
    </xf>
    <xf numFmtId="0" fontId="1" fillId="3" borderId="0" xfId="0" applyFont="1" applyFill="1" applyAlignment="1">
      <alignment vertical="top" wrapText="1"/>
    </xf>
    <xf numFmtId="0" fontId="26" fillId="0" borderId="0" xfId="0" applyFont="1"/>
    <xf numFmtId="0" fontId="27" fillId="5" borderId="2" xfId="0" applyFont="1" applyFill="1" applyBorder="1" applyAlignment="1">
      <alignment horizontal="justify" vertical="top" wrapText="1"/>
    </xf>
    <xf numFmtId="0" fontId="25" fillId="3" borderId="1" xfId="0" applyFont="1" applyFill="1" applyBorder="1" applyAlignment="1">
      <alignment horizontal="center" vertical="top"/>
    </xf>
    <xf numFmtId="0" fontId="2" fillId="5" borderId="1" xfId="0" applyFont="1" applyFill="1" applyBorder="1" applyAlignment="1">
      <alignment horizontal="left" vertical="top" wrapText="1"/>
    </xf>
    <xf numFmtId="0" fontId="2" fillId="3" borderId="6" xfId="0" applyFont="1" applyFill="1" applyBorder="1" applyAlignment="1">
      <alignment vertical="top" wrapText="1"/>
    </xf>
    <xf numFmtId="0" fontId="1" fillId="0" borderId="0" xfId="0" applyFont="1"/>
    <xf numFmtId="49" fontId="26" fillId="3" borderId="1" xfId="0" applyNumberFormat="1" applyFont="1" applyFill="1" applyBorder="1" applyAlignment="1">
      <alignment horizontal="right" vertical="center" wrapText="1"/>
    </xf>
    <xf numFmtId="0" fontId="28" fillId="3" borderId="1" xfId="0" applyFont="1" applyFill="1" applyBorder="1" applyAlignment="1">
      <alignment vertical="top" wrapText="1"/>
    </xf>
    <xf numFmtId="2" fontId="26" fillId="0" borderId="0" xfId="0" applyNumberFormat="1" applyFont="1" applyAlignment="1">
      <alignment horizontal="center" vertical="top" wrapText="1"/>
    </xf>
    <xf numFmtId="0" fontId="26" fillId="0" borderId="0" xfId="0" applyFont="1" applyAlignment="1">
      <alignment horizontal="center" vertical="top" wrapText="1"/>
    </xf>
    <xf numFmtId="2" fontId="26" fillId="0" borderId="0" xfId="0" applyNumberFormat="1" applyFont="1" applyAlignment="1">
      <alignment horizontal="center" vertical="top"/>
    </xf>
    <xf numFmtId="0" fontId="26" fillId="0" borderId="0" xfId="0" applyFont="1" applyAlignment="1">
      <alignment horizontal="center" vertical="top"/>
    </xf>
    <xf numFmtId="2" fontId="26" fillId="0" borderId="0" xfId="0" applyNumberFormat="1" applyFont="1" applyAlignment="1">
      <alignment horizontal="center"/>
    </xf>
    <xf numFmtId="0" fontId="8" fillId="3" borderId="1" xfId="0" applyFont="1" applyFill="1" applyBorder="1" applyAlignment="1">
      <alignment vertical="top" wrapText="1"/>
    </xf>
    <xf numFmtId="0" fontId="26" fillId="0" borderId="0" xfId="0" applyFont="1" applyAlignment="1">
      <alignment horizontal="center"/>
    </xf>
    <xf numFmtId="2" fontId="24" fillId="7" borderId="1" xfId="0" applyNumberFormat="1" applyFont="1" applyFill="1" applyBorder="1" applyAlignment="1">
      <alignment horizontal="center" vertical="center" wrapText="1"/>
    </xf>
    <xf numFmtId="0" fontId="24" fillId="8" borderId="1" xfId="0" applyFont="1" applyFill="1" applyBorder="1" applyAlignment="1">
      <alignment horizontal="center" vertical="center" wrapText="1"/>
    </xf>
    <xf numFmtId="0" fontId="26" fillId="8" borderId="1" xfId="0" applyFont="1" applyFill="1" applyBorder="1" applyAlignment="1">
      <alignment horizontal="left" vertical="center" wrapText="1"/>
    </xf>
    <xf numFmtId="2" fontId="24" fillId="8" borderId="1" xfId="0" applyNumberFormat="1" applyFont="1" applyFill="1" applyBorder="1" applyAlignment="1">
      <alignment horizontal="center" vertical="center" wrapText="1"/>
    </xf>
    <xf numFmtId="0" fontId="26" fillId="0" borderId="1" xfId="0" applyFont="1" applyBorder="1" applyAlignment="1">
      <alignment horizontal="left" wrapText="1"/>
    </xf>
    <xf numFmtId="0" fontId="24" fillId="2" borderId="1" xfId="0" applyFont="1" applyFill="1" applyBorder="1" applyAlignment="1">
      <alignment horizontal="center" vertical="top" wrapText="1"/>
    </xf>
    <xf numFmtId="0" fontId="24" fillId="2" borderId="1" xfId="0" applyFont="1" applyFill="1" applyBorder="1" applyAlignment="1">
      <alignment horizontal="left" vertical="top" wrapText="1"/>
    </xf>
    <xf numFmtId="0" fontId="26" fillId="2" borderId="1" xfId="0" applyFont="1" applyFill="1" applyBorder="1" applyAlignment="1">
      <alignment horizontal="left" wrapText="1"/>
    </xf>
    <xf numFmtId="2" fontId="24" fillId="9" borderId="1" xfId="0" applyNumberFormat="1" applyFont="1" applyFill="1" applyBorder="1" applyAlignment="1">
      <alignment horizontal="center" vertical="center" wrapText="1"/>
    </xf>
    <xf numFmtId="0" fontId="24" fillId="8" borderId="1" xfId="0" applyFont="1" applyFill="1" applyBorder="1" applyAlignment="1">
      <alignment horizontal="left" vertical="center" wrapText="1"/>
    </xf>
    <xf numFmtId="0" fontId="26" fillId="0" borderId="0" xfId="0" applyFont="1" applyAlignment="1">
      <alignment horizontal="center" vertical="center"/>
    </xf>
    <xf numFmtId="0" fontId="26" fillId="6" borderId="1" xfId="0" applyFont="1" applyFill="1" applyBorder="1" applyAlignment="1">
      <alignment horizontal="left" vertical="center" wrapText="1"/>
    </xf>
    <xf numFmtId="0" fontId="24" fillId="0" borderId="0" xfId="0" applyFont="1" applyAlignment="1">
      <alignment horizontal="center" vertical="top" wrapText="1"/>
    </xf>
    <xf numFmtId="0" fontId="24" fillId="0" borderId="1" xfId="0" applyFont="1" applyBorder="1" applyAlignment="1">
      <alignment horizontal="center" vertical="center" wrapText="1"/>
    </xf>
    <xf numFmtId="2" fontId="24" fillId="0" borderId="1" xfId="0" applyNumberFormat="1" applyFont="1" applyBorder="1" applyAlignment="1">
      <alignment horizontal="center" vertical="center" wrapText="1"/>
    </xf>
    <xf numFmtId="0" fontId="24" fillId="0" borderId="1" xfId="0" applyFont="1" applyBorder="1" applyAlignment="1">
      <alignment horizontal="center" vertical="top" wrapText="1"/>
    </xf>
    <xf numFmtId="0" fontId="26" fillId="0" borderId="1" xfId="0" applyFont="1" applyBorder="1" applyAlignment="1">
      <alignment horizontal="left" vertical="center" wrapText="1"/>
    </xf>
    <xf numFmtId="0" fontId="1" fillId="4" borderId="1" xfId="0" applyFont="1" applyFill="1" applyBorder="1" applyAlignment="1">
      <alignment vertical="top" wrapText="1"/>
    </xf>
    <xf numFmtId="0" fontId="1"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26" fillId="0" borderId="1" xfId="0" applyFont="1" applyBorder="1" applyAlignment="1">
      <alignment vertical="top" wrapText="1"/>
    </xf>
    <xf numFmtId="0" fontId="2" fillId="4" borderId="1" xfId="0" applyFont="1" applyFill="1" applyBorder="1" applyAlignment="1">
      <alignmen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justify" vertical="top" wrapText="1"/>
    </xf>
    <xf numFmtId="0" fontId="7" fillId="3" borderId="1" xfId="0" applyFont="1" applyFill="1" applyBorder="1" applyAlignment="1">
      <alignment horizontal="justify" vertical="top" wrapText="1"/>
    </xf>
    <xf numFmtId="0" fontId="26" fillId="0" borderId="1" xfId="0" applyFont="1" applyBorder="1" applyAlignment="1">
      <alignment horizontal="justify" vertical="top" wrapText="1"/>
    </xf>
    <xf numFmtId="0" fontId="1" fillId="5" borderId="5" xfId="0" applyFont="1" applyFill="1" applyBorder="1" applyAlignment="1">
      <alignment horizontal="center" vertical="top" wrapText="1"/>
    </xf>
    <xf numFmtId="0" fontId="1" fillId="5" borderId="5" xfId="0" applyFont="1" applyFill="1" applyBorder="1" applyAlignment="1">
      <alignment horizontal="justify" vertical="top" wrapText="1"/>
    </xf>
    <xf numFmtId="0" fontId="24" fillId="0" borderId="0" xfId="0" applyFont="1" applyAlignment="1">
      <alignment horizontal="center"/>
    </xf>
    <xf numFmtId="0" fontId="26" fillId="0" borderId="1" xfId="0" applyFont="1" applyBorder="1" applyAlignment="1">
      <alignment horizontal="center" vertical="top" wrapText="1"/>
    </xf>
    <xf numFmtId="0" fontId="26" fillId="0" borderId="0" xfId="0" applyFont="1" applyAlignment="1">
      <alignment vertical="top" wrapText="1"/>
    </xf>
    <xf numFmtId="0" fontId="25" fillId="0" borderId="1" xfId="0" applyFont="1" applyBorder="1" applyAlignment="1">
      <alignment horizontal="center" vertical="top" wrapText="1"/>
    </xf>
    <xf numFmtId="0" fontId="29" fillId="0" borderId="0" xfId="0" applyFont="1"/>
    <xf numFmtId="0" fontId="29" fillId="0" borderId="0" xfId="0" applyFont="1" applyAlignment="1">
      <alignment vertical="top" wrapText="1"/>
    </xf>
    <xf numFmtId="2" fontId="29" fillId="0" borderId="0" xfId="0" applyNumberFormat="1" applyFont="1" applyAlignment="1">
      <alignment horizontal="center"/>
    </xf>
    <xf numFmtId="2" fontId="29" fillId="0" borderId="0" xfId="0" applyNumberFormat="1" applyFont="1"/>
    <xf numFmtId="0" fontId="30" fillId="0" borderId="0" xfId="0" applyFont="1" applyAlignment="1">
      <alignment vertical="top" wrapText="1"/>
    </xf>
    <xf numFmtId="0" fontId="29" fillId="0" borderId="0" xfId="0" applyFont="1" applyAlignment="1">
      <alignment horizontal="center" vertical="top" wrapText="1"/>
    </xf>
    <xf numFmtId="0" fontId="2" fillId="0" borderId="1" xfId="0" applyFont="1" applyBorder="1" applyAlignment="1">
      <alignment horizontal="justify" vertical="top" wrapText="1"/>
    </xf>
    <xf numFmtId="0" fontId="24" fillId="0" borderId="0" xfId="0" applyFont="1" applyAlignment="1">
      <alignment horizontal="left"/>
    </xf>
    <xf numFmtId="2" fontId="26" fillId="0" borderId="0" xfId="0" applyNumberFormat="1" applyFont="1"/>
    <xf numFmtId="0" fontId="2" fillId="0" borderId="0" xfId="0" applyFont="1" applyAlignment="1">
      <alignment horizontal="center"/>
    </xf>
    <xf numFmtId="0" fontId="26" fillId="0" borderId="0" xfId="0" applyFont="1" applyBorder="1" applyAlignment="1">
      <alignment vertical="top" wrapText="1"/>
    </xf>
    <xf numFmtId="0" fontId="25" fillId="0" borderId="0" xfId="0" applyFont="1" applyBorder="1" applyAlignment="1">
      <alignment horizontal="right" vertical="top" wrapText="1"/>
    </xf>
    <xf numFmtId="0" fontId="24" fillId="0" borderId="0" xfId="0" applyFont="1" applyAlignment="1">
      <alignment vertical="top" wrapText="1"/>
    </xf>
    <xf numFmtId="0" fontId="26" fillId="3" borderId="1" xfId="0" applyFont="1" applyFill="1" applyBorder="1" applyAlignment="1">
      <alignment horizontal="center" vertical="top" wrapText="1"/>
    </xf>
    <xf numFmtId="0" fontId="26" fillId="0" borderId="1" xfId="0" applyFont="1" applyBorder="1" applyAlignment="1">
      <alignment horizontal="right" vertical="center"/>
    </xf>
    <xf numFmtId="0" fontId="26" fillId="0" borderId="1" xfId="0" applyFont="1" applyBorder="1" applyAlignment="1">
      <alignment horizontal="left" vertical="center"/>
    </xf>
    <xf numFmtId="0" fontId="26" fillId="0" borderId="1" xfId="0" applyFont="1" applyBorder="1"/>
    <xf numFmtId="0" fontId="26" fillId="0" borderId="1" xfId="0" applyFont="1" applyBorder="1" applyAlignment="1">
      <alignment horizontal="left" vertical="top" wrapText="1"/>
    </xf>
    <xf numFmtId="0" fontId="26" fillId="0" borderId="0" xfId="0" applyFont="1" applyAlignment="1">
      <alignment horizontal="left" indent="7"/>
    </xf>
    <xf numFmtId="0" fontId="31" fillId="0" borderId="0" xfId="0" applyFont="1" applyBorder="1" applyAlignment="1">
      <alignment horizontal="center"/>
    </xf>
    <xf numFmtId="0" fontId="26" fillId="0" borderId="0" xfId="0" applyFont="1" applyBorder="1" applyAlignment="1"/>
    <xf numFmtId="0" fontId="29" fillId="7" borderId="1" xfId="0" applyFont="1" applyFill="1" applyBorder="1" applyAlignment="1">
      <alignment horizontal="center" vertical="center"/>
    </xf>
    <xf numFmtId="2" fontId="29" fillId="7" borderId="1" xfId="0" applyNumberFormat="1" applyFont="1" applyFill="1" applyBorder="1" applyAlignment="1">
      <alignment horizontal="center" vertical="center"/>
    </xf>
    <xf numFmtId="2" fontId="24" fillId="6" borderId="1" xfId="0" applyNumberFormat="1" applyFont="1" applyFill="1" applyBorder="1" applyAlignment="1">
      <alignment horizontal="center" vertical="center" wrapText="1"/>
    </xf>
    <xf numFmtId="0" fontId="29" fillId="0" borderId="0" xfId="0" applyFont="1" applyAlignment="1">
      <alignment horizontal="left" vertical="center"/>
    </xf>
    <xf numFmtId="2" fontId="29" fillId="0" borderId="0" xfId="0" applyNumberFormat="1" applyFont="1" applyAlignment="1">
      <alignment horizontal="center" vertical="center"/>
    </xf>
    <xf numFmtId="2" fontId="24" fillId="2" borderId="1" xfId="0" applyNumberFormat="1" applyFont="1" applyFill="1" applyBorder="1" applyAlignment="1">
      <alignment horizontal="center" wrapText="1"/>
    </xf>
    <xf numFmtId="2" fontId="24" fillId="0" borderId="1" xfId="0" applyNumberFormat="1" applyFont="1" applyBorder="1" applyAlignment="1">
      <alignment horizontal="center" wrapText="1"/>
    </xf>
    <xf numFmtId="2" fontId="24" fillId="6" borderId="1" xfId="0" applyNumberFormat="1" applyFont="1" applyFill="1" applyBorder="1" applyAlignment="1">
      <alignment horizontal="center" wrapText="1"/>
    </xf>
    <xf numFmtId="2" fontId="24" fillId="5" borderId="1" xfId="0" applyNumberFormat="1" applyFont="1" applyFill="1" applyBorder="1" applyAlignment="1">
      <alignment horizontal="center"/>
    </xf>
    <xf numFmtId="0" fontId="29" fillId="0" borderId="0" xfId="0" applyFont="1" applyAlignment="1">
      <alignment horizontal="center"/>
    </xf>
    <xf numFmtId="2" fontId="24" fillId="9" borderId="1" xfId="0" applyNumberFormat="1" applyFont="1" applyFill="1" applyBorder="1" applyAlignment="1">
      <alignment horizontal="center" vertical="center"/>
    </xf>
    <xf numFmtId="2" fontId="24" fillId="8" borderId="1" xfId="0" applyNumberFormat="1" applyFont="1" applyFill="1" applyBorder="1" applyAlignment="1">
      <alignment horizontal="center" vertical="center"/>
    </xf>
    <xf numFmtId="0" fontId="29" fillId="8" borderId="1" xfId="0" applyFont="1" applyFill="1" applyBorder="1" applyAlignment="1">
      <alignment horizontal="left" vertical="center"/>
    </xf>
    <xf numFmtId="2" fontId="29" fillId="8" borderId="1" xfId="0" applyNumberFormat="1" applyFont="1" applyFill="1" applyBorder="1" applyAlignment="1">
      <alignment horizontal="center" vertical="center"/>
    </xf>
    <xf numFmtId="0" fontId="24" fillId="6" borderId="6" xfId="0" applyFont="1" applyFill="1" applyBorder="1" applyAlignment="1">
      <alignment vertical="center"/>
    </xf>
    <xf numFmtId="0" fontId="24" fillId="6" borderId="4" xfId="0" applyFont="1" applyFill="1" applyBorder="1" applyAlignment="1">
      <alignment vertical="center"/>
    </xf>
    <xf numFmtId="2" fontId="24" fillId="6" borderId="1" xfId="0" applyNumberFormat="1" applyFont="1" applyFill="1" applyBorder="1" applyAlignment="1">
      <alignment horizontal="center" vertical="center"/>
    </xf>
    <xf numFmtId="0" fontId="24" fillId="6" borderId="1" xfId="0" applyFont="1" applyFill="1" applyBorder="1" applyAlignment="1">
      <alignment vertical="center"/>
    </xf>
    <xf numFmtId="2" fontId="24" fillId="8" borderId="1" xfId="0" applyNumberFormat="1" applyFont="1" applyFill="1" applyBorder="1" applyAlignment="1">
      <alignment horizontal="left" vertical="center"/>
    </xf>
    <xf numFmtId="2" fontId="24" fillId="0" borderId="0" xfId="0" applyNumberFormat="1" applyFont="1" applyAlignment="1">
      <alignment horizontal="left" vertical="center"/>
    </xf>
    <xf numFmtId="0" fontId="24" fillId="0" borderId="0" xfId="0" applyFont="1" applyFill="1" applyAlignment="1">
      <alignment vertical="center"/>
    </xf>
    <xf numFmtId="0" fontId="24" fillId="0" borderId="0" xfId="0" applyFont="1" applyFill="1" applyAlignment="1">
      <alignment horizontal="center" vertical="center"/>
    </xf>
    <xf numFmtId="2" fontId="24" fillId="9" borderId="1" xfId="0" applyNumberFormat="1" applyFont="1" applyFill="1" applyBorder="1" applyAlignment="1">
      <alignment horizontal="center" vertical="top" wrapText="1"/>
    </xf>
    <xf numFmtId="0" fontId="26" fillId="0" borderId="7" xfId="0" applyFont="1" applyBorder="1" applyAlignment="1">
      <alignment wrapText="1"/>
    </xf>
    <xf numFmtId="0" fontId="26" fillId="0" borderId="7" xfId="0" applyFont="1" applyBorder="1" applyAlignment="1">
      <alignment horizontal="left" wrapText="1"/>
    </xf>
    <xf numFmtId="166" fontId="26" fillId="0" borderId="0" xfId="0" applyNumberFormat="1" applyFont="1"/>
    <xf numFmtId="0" fontId="26" fillId="0" borderId="5" xfId="0" applyFont="1" applyBorder="1" applyAlignment="1">
      <alignment vertical="center" wrapText="1"/>
    </xf>
    <xf numFmtId="0" fontId="26" fillId="0" borderId="1" xfId="0" applyFont="1" applyBorder="1" applyAlignment="1">
      <alignment vertical="center"/>
    </xf>
    <xf numFmtId="0" fontId="24" fillId="0" borderId="8" xfId="0" applyFont="1" applyBorder="1" applyAlignment="1">
      <alignment horizontal="center" vertical="center" wrapText="1"/>
    </xf>
    <xf numFmtId="0" fontId="24" fillId="0" borderId="0" xfId="0" applyFont="1" applyBorder="1" applyAlignment="1">
      <alignment horizontal="center" vertical="center" wrapText="1"/>
    </xf>
    <xf numFmtId="0" fontId="26" fillId="0" borderId="9" xfId="0" applyFont="1" applyBorder="1" applyAlignment="1">
      <alignment horizontal="right" vertical="center" wrapText="1"/>
    </xf>
    <xf numFmtId="2" fontId="26" fillId="0" borderId="10" xfId="0" applyNumberFormat="1" applyFont="1" applyBorder="1" applyAlignment="1">
      <alignment horizontal="left" vertical="center" wrapText="1"/>
    </xf>
    <xf numFmtId="0" fontId="26" fillId="0" borderId="10" xfId="0" applyFont="1" applyBorder="1" applyAlignment="1">
      <alignment horizontal="right" vertical="center" wrapText="1"/>
    </xf>
    <xf numFmtId="0" fontId="26" fillId="0" borderId="7" xfId="0" applyFont="1" applyBorder="1" applyAlignment="1">
      <alignment horizontal="left" vertical="center" wrapText="1"/>
    </xf>
    <xf numFmtId="0" fontId="31" fillId="0" borderId="8"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8" xfId="0" applyFont="1" applyBorder="1" applyAlignment="1">
      <alignment vertical="center" wrapText="1"/>
    </xf>
    <xf numFmtId="0" fontId="31" fillId="0" borderId="11" xfId="0" applyFont="1" applyBorder="1" applyAlignment="1">
      <alignment vertical="center" wrapText="1"/>
    </xf>
    <xf numFmtId="0" fontId="25" fillId="0" borderId="7" xfId="0" applyFont="1" applyBorder="1" applyAlignment="1">
      <alignment horizontal="left" vertical="center" wrapText="1"/>
    </xf>
    <xf numFmtId="0" fontId="2" fillId="0" borderId="7" xfId="0" applyFont="1" applyBorder="1" applyAlignment="1">
      <alignment horizontal="left" vertical="center" wrapText="1"/>
    </xf>
    <xf numFmtId="2" fontId="26" fillId="0" borderId="12" xfId="0" applyNumberFormat="1" applyFont="1" applyBorder="1" applyAlignment="1">
      <alignment horizontal="left" vertical="center" wrapText="1"/>
    </xf>
    <xf numFmtId="0" fontId="25" fillId="0" borderId="7" xfId="0" applyFont="1" applyFill="1" applyBorder="1" applyAlignment="1">
      <alignment horizontal="left" vertical="center" wrapText="1"/>
    </xf>
    <xf numFmtId="0" fontId="26" fillId="0" borderId="1" xfId="0" applyFont="1" applyFill="1" applyBorder="1" applyAlignment="1">
      <alignment horizontal="right" vertical="center"/>
    </xf>
    <xf numFmtId="0" fontId="24" fillId="0" borderId="1" xfId="0" applyFont="1" applyBorder="1" applyAlignment="1">
      <alignment vertical="top" wrapText="1"/>
    </xf>
    <xf numFmtId="0" fontId="24" fillId="0" borderId="1" xfId="0" applyFont="1" applyBorder="1" applyAlignment="1">
      <alignment horizontal="left" vertical="top" wrapText="1"/>
    </xf>
    <xf numFmtId="0" fontId="26" fillId="0" borderId="1" xfId="0" applyFont="1" applyBorder="1" applyAlignment="1">
      <alignment horizontal="center" vertical="center"/>
    </xf>
    <xf numFmtId="0" fontId="24" fillId="10" borderId="0" xfId="0" applyFont="1" applyFill="1" applyBorder="1" applyAlignment="1">
      <alignment vertical="center"/>
    </xf>
    <xf numFmtId="0" fontId="26" fillId="10" borderId="0" xfId="0" applyFont="1" applyFill="1"/>
    <xf numFmtId="0" fontId="24" fillId="10" borderId="0" xfId="0" applyFont="1" applyFill="1"/>
    <xf numFmtId="2" fontId="26" fillId="0" borderId="1" xfId="0" applyNumberFormat="1" applyFont="1" applyBorder="1" applyAlignment="1">
      <alignment vertical="top" wrapText="1"/>
    </xf>
    <xf numFmtId="0" fontId="26" fillId="0" borderId="6" xfId="0" applyFont="1" applyBorder="1" applyAlignment="1">
      <alignment horizontal="center" vertical="top" wrapText="1"/>
    </xf>
    <xf numFmtId="0" fontId="26" fillId="0" borderId="4" xfId="0" applyFont="1" applyBorder="1" applyAlignment="1">
      <alignment vertical="top" wrapText="1"/>
    </xf>
    <xf numFmtId="0" fontId="2" fillId="5" borderId="5" xfId="0" applyFont="1" applyFill="1" applyBorder="1" applyAlignment="1">
      <alignment horizontal="center" vertical="top" wrapText="1"/>
    </xf>
    <xf numFmtId="0" fontId="1" fillId="5" borderId="4" xfId="0" applyFont="1" applyFill="1" applyBorder="1" applyAlignment="1">
      <alignment horizontal="center" vertical="top" wrapText="1"/>
    </xf>
    <xf numFmtId="0" fontId="1" fillId="5" borderId="5" xfId="0" applyFont="1" applyFill="1" applyBorder="1" applyAlignment="1">
      <alignment horizontal="left" vertical="top" wrapText="1"/>
    </xf>
    <xf numFmtId="0" fontId="5" fillId="5" borderId="5" xfId="0" applyFont="1" applyFill="1" applyBorder="1" applyAlignment="1">
      <alignment horizontal="left" vertical="top" wrapText="1"/>
    </xf>
    <xf numFmtId="0" fontId="5" fillId="6" borderId="1" xfId="0" applyFont="1" applyFill="1" applyBorder="1" applyAlignment="1">
      <alignment horizontal="left" vertical="top" wrapText="1"/>
    </xf>
    <xf numFmtId="0" fontId="24" fillId="0" borderId="0" xfId="0" applyFont="1" applyAlignment="1">
      <alignment horizontal="left" vertical="top" wrapText="1"/>
    </xf>
    <xf numFmtId="0" fontId="17" fillId="0" borderId="0" xfId="0" applyFont="1" applyAlignment="1"/>
    <xf numFmtId="0" fontId="18" fillId="0" borderId="0" xfId="0" applyFont="1"/>
    <xf numFmtId="0" fontId="17" fillId="0" borderId="0" xfId="0" applyFont="1" applyAlignment="1">
      <alignment wrapText="1"/>
    </xf>
    <xf numFmtId="0" fontId="19" fillId="0" borderId="0" xfId="0" applyFont="1" applyAlignment="1">
      <alignment horizontal="left"/>
    </xf>
    <xf numFmtId="0" fontId="17" fillId="0" borderId="1" xfId="0" applyFont="1" applyBorder="1" applyAlignment="1">
      <alignment horizontal="center" vertical="center" wrapText="1"/>
    </xf>
    <xf numFmtId="0" fontId="18" fillId="0" borderId="13" xfId="0" applyFont="1" applyBorder="1"/>
    <xf numFmtId="0" fontId="18" fillId="0" borderId="14" xfId="0" applyFont="1" applyBorder="1"/>
    <xf numFmtId="0" fontId="19" fillId="0" borderId="1" xfId="0" applyFont="1" applyBorder="1" applyAlignment="1">
      <alignment vertical="top" wrapText="1"/>
    </xf>
    <xf numFmtId="49" fontId="19" fillId="0" borderId="6" xfId="0" applyNumberFormat="1" applyFont="1" applyBorder="1" applyAlignment="1">
      <alignment horizontal="right" vertical="center" wrapText="1"/>
    </xf>
    <xf numFmtId="0" fontId="19" fillId="0" borderId="4" xfId="0" applyFont="1" applyBorder="1" applyAlignment="1">
      <alignment horizontal="left" vertical="center"/>
    </xf>
    <xf numFmtId="0" fontId="19" fillId="0" borderId="6" xfId="0" applyFont="1" applyBorder="1" applyAlignment="1">
      <alignment horizontal="right" vertical="center"/>
    </xf>
    <xf numFmtId="0" fontId="18" fillId="0" borderId="4" xfId="0" applyFont="1" applyBorder="1" applyAlignment="1">
      <alignment horizontal="left" vertical="center"/>
    </xf>
    <xf numFmtId="0" fontId="17" fillId="0" borderId="3" xfId="0" applyFont="1" applyBorder="1" applyAlignment="1">
      <alignment horizontal="center" vertical="center"/>
    </xf>
    <xf numFmtId="0" fontId="18" fillId="0" borderId="8" xfId="0" applyFont="1" applyBorder="1"/>
    <xf numFmtId="0" fontId="18" fillId="0" borderId="11" xfId="0" applyFont="1" applyBorder="1"/>
    <xf numFmtId="0" fontId="19" fillId="0" borderId="1" xfId="0" applyFont="1" applyBorder="1" applyAlignment="1">
      <alignment wrapText="1"/>
    </xf>
    <xf numFmtId="0" fontId="19" fillId="0" borderId="7" xfId="0" applyFont="1" applyBorder="1" applyAlignment="1">
      <alignment horizontal="right" vertical="center"/>
    </xf>
    <xf numFmtId="0" fontId="18" fillId="0" borderId="4" xfId="0" applyFont="1" applyBorder="1"/>
    <xf numFmtId="0" fontId="19" fillId="0" borderId="8" xfId="0" applyFont="1" applyBorder="1" applyAlignment="1">
      <alignment horizontal="right" wrapText="1"/>
    </xf>
    <xf numFmtId="0" fontId="19" fillId="0" borderId="11" xfId="0" applyFont="1" applyBorder="1" applyAlignment="1">
      <alignment horizontal="left" wrapText="1"/>
    </xf>
    <xf numFmtId="49" fontId="19" fillId="0" borderId="10" xfId="0" applyNumberFormat="1" applyFont="1" applyBorder="1" applyAlignment="1">
      <alignment horizontal="right" vertical="center"/>
    </xf>
    <xf numFmtId="2" fontId="19" fillId="0" borderId="12" xfId="0" applyNumberFormat="1" applyFont="1" applyBorder="1" applyAlignment="1">
      <alignment horizontal="left" vertical="center"/>
    </xf>
    <xf numFmtId="0" fontId="19" fillId="0" borderId="13" xfId="0" applyFont="1" applyFill="1" applyBorder="1" applyAlignment="1">
      <alignment horizontal="right"/>
    </xf>
    <xf numFmtId="0" fontId="19" fillId="0" borderId="14" xfId="0" applyFont="1" applyFill="1" applyBorder="1" applyAlignment="1">
      <alignment horizontal="left"/>
    </xf>
    <xf numFmtId="0" fontId="19" fillId="0" borderId="1" xfId="0" applyFont="1" applyFill="1" applyBorder="1" applyAlignment="1">
      <alignment vertical="top" wrapText="1"/>
    </xf>
    <xf numFmtId="0" fontId="19" fillId="0" borderId="4" xfId="0" applyFont="1" applyBorder="1"/>
    <xf numFmtId="0" fontId="19" fillId="0" borderId="0" xfId="0" applyFont="1" applyFill="1"/>
    <xf numFmtId="0" fontId="19" fillId="0" borderId="8" xfId="0" applyFont="1" applyBorder="1"/>
    <xf numFmtId="0" fontId="19" fillId="0" borderId="11" xfId="0" applyFont="1" applyBorder="1"/>
    <xf numFmtId="49" fontId="19" fillId="0" borderId="8" xfId="0" applyNumberFormat="1" applyFont="1" applyBorder="1" applyAlignment="1">
      <alignment vertical="top"/>
    </xf>
    <xf numFmtId="49" fontId="19" fillId="0" borderId="11" xfId="0" applyNumberFormat="1" applyFont="1" applyBorder="1" applyAlignment="1">
      <alignment vertical="top"/>
    </xf>
    <xf numFmtId="0" fontId="19" fillId="0" borderId="0" xfId="0" applyFont="1"/>
    <xf numFmtId="0" fontId="19" fillId="0" borderId="9" xfId="0" applyFont="1" applyBorder="1" applyAlignment="1">
      <alignment horizontal="right" vertical="center"/>
    </xf>
    <xf numFmtId="0" fontId="19" fillId="0" borderId="9" xfId="0" applyFont="1" applyBorder="1"/>
    <xf numFmtId="0" fontId="19" fillId="0" borderId="12" xfId="0" applyFont="1" applyBorder="1"/>
    <xf numFmtId="0" fontId="19" fillId="0" borderId="13" xfId="0" applyFont="1" applyBorder="1"/>
    <xf numFmtId="0" fontId="19" fillId="0" borderId="14" xfId="0" applyFont="1" applyBorder="1"/>
    <xf numFmtId="0" fontId="19" fillId="0" borderId="0" xfId="0" applyFont="1" applyAlignment="1">
      <alignment wrapText="1"/>
    </xf>
    <xf numFmtId="0" fontId="19" fillId="0" borderId="8" xfId="0" applyFont="1" applyBorder="1" applyAlignment="1">
      <alignment horizontal="right"/>
    </xf>
    <xf numFmtId="0" fontId="19" fillId="0" borderId="11" xfId="0" applyFont="1" applyBorder="1" applyAlignment="1">
      <alignment horizontal="left"/>
    </xf>
    <xf numFmtId="0" fontId="19" fillId="0" borderId="8" xfId="0" applyFont="1" applyBorder="1" applyAlignment="1">
      <alignment horizontal="right" vertical="top"/>
    </xf>
    <xf numFmtId="0" fontId="19" fillId="0" borderId="11" xfId="0" applyFont="1" applyBorder="1" applyAlignment="1">
      <alignment horizontal="left" vertical="top"/>
    </xf>
    <xf numFmtId="0" fontId="19" fillId="0" borderId="0" xfId="0" applyFont="1" applyBorder="1" applyAlignment="1">
      <alignment horizontal="right" vertical="top"/>
    </xf>
    <xf numFmtId="0" fontId="19" fillId="0" borderId="4" xfId="0" applyFont="1" applyBorder="1" applyAlignment="1">
      <alignment vertical="top" wrapText="1"/>
    </xf>
    <xf numFmtId="0" fontId="19" fillId="0" borderId="0" xfId="0" applyFont="1" applyBorder="1" applyAlignment="1">
      <alignment horizontal="right" vertical="center"/>
    </xf>
    <xf numFmtId="2" fontId="19" fillId="0" borderId="0" xfId="0" applyNumberFormat="1" applyFont="1" applyBorder="1" applyAlignment="1">
      <alignment horizontal="left" vertical="center"/>
    </xf>
    <xf numFmtId="0" fontId="19" fillId="0" borderId="0" xfId="0" applyFont="1" applyBorder="1"/>
    <xf numFmtId="2" fontId="19" fillId="0" borderId="11" xfId="0" applyNumberFormat="1" applyFont="1" applyBorder="1" applyAlignment="1">
      <alignment horizontal="left" vertical="center"/>
    </xf>
    <xf numFmtId="0" fontId="17" fillId="0" borderId="2" xfId="0" applyFont="1" applyBorder="1" applyAlignment="1">
      <alignment horizontal="center" vertical="center"/>
    </xf>
    <xf numFmtId="0" fontId="19" fillId="0" borderId="10" xfId="0" applyFont="1" applyBorder="1"/>
    <xf numFmtId="0" fontId="17" fillId="0" borderId="0" xfId="0" applyFont="1" applyBorder="1" applyAlignment="1">
      <alignment horizontal="center" vertical="center"/>
    </xf>
    <xf numFmtId="0" fontId="19" fillId="0" borderId="0" xfId="0" applyFont="1" applyBorder="1" applyAlignment="1">
      <alignment vertical="top" wrapText="1"/>
    </xf>
    <xf numFmtId="0" fontId="19" fillId="0" borderId="0" xfId="0" applyFont="1" applyBorder="1" applyAlignment="1">
      <alignment horizontal="left" vertical="center"/>
    </xf>
    <xf numFmtId="0" fontId="17" fillId="0" borderId="0" xfId="0" applyFont="1" applyBorder="1" applyAlignment="1">
      <alignment vertical="center"/>
    </xf>
    <xf numFmtId="0" fontId="17" fillId="0" borderId="0" xfId="0" applyFont="1" applyBorder="1" applyAlignment="1">
      <alignment horizontal="right" vertical="center"/>
    </xf>
    <xf numFmtId="2" fontId="17" fillId="0" borderId="0" xfId="0" applyNumberFormat="1" applyFont="1" applyAlignment="1">
      <alignment horizontal="left"/>
    </xf>
    <xf numFmtId="0" fontId="24" fillId="6" borderId="1" xfId="0" applyFont="1" applyFill="1" applyBorder="1" applyAlignment="1">
      <alignment horizontal="center" vertical="center"/>
    </xf>
    <xf numFmtId="0" fontId="26" fillId="6" borderId="1" xfId="0" applyFont="1" applyFill="1" applyBorder="1" applyAlignment="1">
      <alignment vertical="center" wrapText="1"/>
    </xf>
    <xf numFmtId="0" fontId="26" fillId="6" borderId="1" xfId="0" applyFont="1" applyFill="1" applyBorder="1" applyAlignment="1">
      <alignment horizontal="center" vertical="center"/>
    </xf>
    <xf numFmtId="2" fontId="26" fillId="6" borderId="1" xfId="0" applyNumberFormat="1" applyFont="1" applyFill="1" applyBorder="1" applyAlignment="1">
      <alignment horizontal="center" vertical="center"/>
    </xf>
    <xf numFmtId="0" fontId="26" fillId="6" borderId="1" xfId="0" applyFont="1" applyFill="1" applyBorder="1"/>
    <xf numFmtId="2" fontId="26" fillId="6" borderId="1" xfId="0" applyNumberFormat="1" applyFont="1" applyFill="1" applyBorder="1" applyAlignment="1">
      <alignment horizontal="center" vertical="top" wrapText="1"/>
    </xf>
    <xf numFmtId="0" fontId="24" fillId="0" borderId="1" xfId="0" applyFont="1" applyBorder="1"/>
    <xf numFmtId="0" fontId="2" fillId="0" borderId="5" xfId="0" applyFont="1" applyBorder="1" applyAlignment="1">
      <alignment horizontal="center" vertical="top" wrapText="1"/>
    </xf>
    <xf numFmtId="0" fontId="5" fillId="6" borderId="1" xfId="0" applyFont="1" applyFill="1" applyBorder="1" applyAlignment="1">
      <alignment horizontal="center" vertical="top" wrapText="1"/>
    </xf>
    <xf numFmtId="0" fontId="30" fillId="0" borderId="0" xfId="0" applyFont="1" applyAlignment="1">
      <alignment horizontal="center" vertical="top" wrapText="1"/>
    </xf>
    <xf numFmtId="0" fontId="31" fillId="0" borderId="1" xfId="0" applyFont="1" applyBorder="1" applyAlignment="1">
      <alignment horizontal="center" vertical="top" wrapText="1"/>
    </xf>
    <xf numFmtId="0" fontId="7" fillId="5" borderId="1" xfId="0" applyFont="1" applyFill="1" applyBorder="1" applyAlignment="1">
      <alignment horizontal="center" vertical="top" wrapText="1"/>
    </xf>
    <xf numFmtId="2" fontId="26" fillId="5" borderId="1" xfId="0" applyNumberFormat="1" applyFont="1" applyFill="1" applyBorder="1" applyAlignment="1">
      <alignment horizontal="center" vertical="top" wrapText="1"/>
    </xf>
    <xf numFmtId="2" fontId="26" fillId="0" borderId="1" xfId="0" applyNumberFormat="1" applyFont="1" applyBorder="1" applyAlignment="1">
      <alignment horizontal="center" vertical="top" wrapText="1"/>
    </xf>
    <xf numFmtId="0" fontId="7" fillId="0" borderId="0" xfId="0" applyFont="1" applyAlignment="1">
      <alignment horizontal="center" vertical="top" wrapText="1"/>
    </xf>
    <xf numFmtId="0" fontId="32" fillId="0" borderId="0" xfId="0" applyFont="1" applyAlignment="1">
      <alignment vertical="top" wrapText="1"/>
    </xf>
    <xf numFmtId="0" fontId="33" fillId="0" borderId="0" xfId="0" applyFont="1" applyAlignment="1">
      <alignment horizontal="center" vertical="top" wrapText="1"/>
    </xf>
    <xf numFmtId="0" fontId="33" fillId="0" borderId="0" xfId="0" applyFont="1" applyAlignment="1">
      <alignment vertical="top" wrapText="1"/>
    </xf>
    <xf numFmtId="0" fontId="21" fillId="0" borderId="0" xfId="0" applyFont="1" applyAlignment="1">
      <alignment vertical="top" wrapText="1"/>
    </xf>
    <xf numFmtId="0" fontId="7" fillId="2" borderId="1" xfId="0" applyFont="1" applyFill="1" applyBorder="1" applyAlignment="1">
      <alignment horizontal="center" vertical="top" wrapText="1"/>
    </xf>
    <xf numFmtId="0" fontId="7" fillId="3" borderId="1" xfId="0" applyFont="1" applyFill="1" applyBorder="1" applyAlignment="1">
      <alignment horizontal="center" vertical="top"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2" fillId="0" borderId="1" xfId="0" applyFont="1" applyBorder="1" applyAlignment="1">
      <alignment vertical="top" wrapText="1"/>
    </xf>
    <xf numFmtId="0" fontId="7" fillId="6" borderId="1" xfId="0" applyFont="1" applyFill="1" applyBorder="1" applyAlignment="1">
      <alignment horizontal="center" vertical="top" wrapText="1"/>
    </xf>
    <xf numFmtId="0" fontId="7" fillId="6" borderId="1" xfId="0" applyFont="1" applyFill="1" applyBorder="1" applyAlignment="1">
      <alignment vertical="top" wrapText="1"/>
    </xf>
    <xf numFmtId="0" fontId="2" fillId="6" borderId="1" xfId="0" applyFont="1" applyFill="1" applyBorder="1" applyAlignment="1">
      <alignment horizontal="justify" vertical="top" wrapText="1"/>
    </xf>
    <xf numFmtId="0" fontId="2" fillId="6" borderId="1" xfId="0" applyFont="1" applyFill="1" applyBorder="1" applyAlignment="1">
      <alignment horizontal="center" vertical="top" wrapText="1"/>
    </xf>
    <xf numFmtId="0" fontId="2" fillId="0" borderId="0" xfId="0" applyFont="1" applyAlignment="1">
      <alignment vertical="top" wrapText="1"/>
    </xf>
    <xf numFmtId="0" fontId="7" fillId="0" borderId="0" xfId="0" applyFont="1" applyAlignment="1">
      <alignment vertical="top" wrapText="1"/>
    </xf>
    <xf numFmtId="0" fontId="2" fillId="0" borderId="0" xfId="0" applyFont="1" applyAlignment="1">
      <alignment horizontal="center" vertical="top" wrapText="1"/>
    </xf>
    <xf numFmtId="0" fontId="32" fillId="0" borderId="0" xfId="0" applyFont="1" applyAlignment="1">
      <alignment horizontal="center" vertical="top" wrapText="1"/>
    </xf>
    <xf numFmtId="0" fontId="2" fillId="0" borderId="1" xfId="0" applyFont="1" applyBorder="1" applyAlignment="1">
      <alignment horizontal="left" vertical="top" wrapText="1"/>
    </xf>
    <xf numFmtId="0" fontId="2" fillId="0" borderId="5" xfId="0" applyFont="1" applyBorder="1" applyAlignment="1">
      <alignment vertical="top" wrapText="1"/>
    </xf>
    <xf numFmtId="0" fontId="22" fillId="0" borderId="1" xfId="0" applyFont="1" applyBorder="1" applyAlignment="1">
      <alignment vertical="top" wrapText="1"/>
    </xf>
    <xf numFmtId="0" fontId="0" fillId="0" borderId="0" xfId="0" applyAlignment="1">
      <alignment vertical="top" wrapText="1"/>
    </xf>
    <xf numFmtId="0" fontId="23" fillId="0" borderId="0" xfId="0" applyFont="1" applyAlignment="1">
      <alignment vertical="top" wrapText="1"/>
    </xf>
    <xf numFmtId="2" fontId="0" fillId="0" borderId="0" xfId="0" applyNumberFormat="1" applyAlignment="1">
      <alignment vertical="top" wrapText="1"/>
    </xf>
    <xf numFmtId="2" fontId="0" fillId="0" borderId="0" xfId="0" applyNumberFormat="1" applyAlignment="1">
      <alignment horizontal="center" vertical="top" wrapText="1"/>
    </xf>
    <xf numFmtId="0" fontId="1" fillId="4" borderId="1" xfId="0" applyFont="1" applyFill="1" applyBorder="1" applyAlignment="1">
      <alignment horizontal="justify" vertical="top" wrapText="1"/>
    </xf>
    <xf numFmtId="2" fontId="35" fillId="3" borderId="1" xfId="0" applyNumberFormat="1" applyFont="1" applyFill="1" applyBorder="1" applyAlignment="1">
      <alignment horizontal="center" vertical="top" wrapText="1"/>
    </xf>
    <xf numFmtId="2" fontId="1" fillId="3" borderId="1" xfId="0" applyNumberFormat="1" applyFont="1" applyFill="1" applyBorder="1" applyAlignment="1">
      <alignment horizontal="center" vertical="top" wrapText="1"/>
    </xf>
    <xf numFmtId="2" fontId="1" fillId="2" borderId="1" xfId="0" applyNumberFormat="1" applyFont="1" applyFill="1" applyBorder="1" applyAlignment="1">
      <alignment horizontal="center" vertical="top" wrapText="1"/>
    </xf>
    <xf numFmtId="0" fontId="1" fillId="4" borderId="1" xfId="0" applyFont="1" applyFill="1" applyBorder="1"/>
    <xf numFmtId="0" fontId="1" fillId="0" borderId="1" xfId="0" applyFont="1" applyFill="1" applyBorder="1" applyAlignment="1">
      <alignment vertical="top" wrapText="1"/>
    </xf>
    <xf numFmtId="0" fontId="2" fillId="0" borderId="1" xfId="0" applyFont="1" applyFill="1" applyBorder="1" applyAlignment="1">
      <alignment vertical="top" wrapText="1"/>
    </xf>
    <xf numFmtId="2" fontId="37" fillId="2" borderId="6" xfId="0" applyNumberFormat="1" applyFont="1" applyFill="1" applyBorder="1" applyAlignment="1">
      <alignment vertical="top" wrapText="1"/>
    </xf>
    <xf numFmtId="2" fontId="36" fillId="2" borderId="4" xfId="0" applyNumberFormat="1" applyFont="1" applyFill="1" applyBorder="1" applyAlignment="1">
      <alignment vertical="top" wrapText="1"/>
    </xf>
    <xf numFmtId="0" fontId="1" fillId="3"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vertical="top" wrapText="1"/>
    </xf>
    <xf numFmtId="2" fontId="24" fillId="10" borderId="1" xfId="0" applyNumberFormat="1" applyFont="1" applyFill="1" applyBorder="1" applyAlignment="1">
      <alignment horizontal="center" vertical="top" wrapText="1"/>
    </xf>
    <xf numFmtId="0" fontId="24" fillId="10" borderId="1" xfId="0" applyFont="1" applyFill="1" applyBorder="1" applyAlignment="1">
      <alignment vertical="top" wrapText="1"/>
    </xf>
    <xf numFmtId="0" fontId="5" fillId="0" borderId="5" xfId="0" applyFont="1" applyBorder="1" applyAlignment="1">
      <alignment vertical="top" wrapText="1"/>
    </xf>
    <xf numFmtId="0" fontId="5" fillId="0" borderId="3" xfId="0" applyFont="1" applyBorder="1" applyAlignment="1">
      <alignment vertical="top" wrapText="1"/>
    </xf>
    <xf numFmtId="0" fontId="5" fillId="0" borderId="2" xfId="0" applyFont="1" applyBorder="1" applyAlignment="1">
      <alignment vertical="top" wrapText="1"/>
    </xf>
    <xf numFmtId="2" fontId="26" fillId="0" borderId="5" xfId="0" applyNumberFormat="1" applyFont="1" applyBorder="1" applyAlignment="1">
      <alignment horizontal="center" vertical="top" wrapText="1"/>
    </xf>
    <xf numFmtId="2" fontId="26" fillId="0" borderId="2" xfId="0" applyNumberFormat="1" applyFont="1" applyBorder="1" applyAlignment="1">
      <alignment horizontal="center" vertical="top" wrapText="1"/>
    </xf>
    <xf numFmtId="2" fontId="26" fillId="0" borderId="3" xfId="0" applyNumberFormat="1" applyFont="1" applyBorder="1" applyAlignment="1">
      <alignment horizontal="center" vertical="top" wrapText="1"/>
    </xf>
    <xf numFmtId="0" fontId="24" fillId="10" borderId="1" xfId="0" applyFont="1" applyFill="1" applyBorder="1" applyAlignment="1">
      <alignment horizontal="center" vertical="top" wrapText="1"/>
    </xf>
    <xf numFmtId="0" fontId="12" fillId="0" borderId="0" xfId="0" applyFont="1" applyAlignment="1">
      <alignment vertical="top" wrapText="1"/>
    </xf>
    <xf numFmtId="0" fontId="25" fillId="0" borderId="0" xfId="0" applyFont="1" applyAlignment="1">
      <alignment vertical="top" wrapText="1"/>
    </xf>
    <xf numFmtId="0" fontId="5" fillId="4" borderId="1" xfId="0" applyFont="1" applyFill="1" applyBorder="1" applyAlignment="1">
      <alignment vertical="top" wrapText="1"/>
    </xf>
    <xf numFmtId="0" fontId="12" fillId="4" borderId="1" xfId="0" applyFont="1" applyFill="1" applyBorder="1" applyAlignment="1">
      <alignment horizontal="center" vertical="top" wrapText="1"/>
    </xf>
    <xf numFmtId="0" fontId="13" fillId="4" borderId="1" xfId="0" applyFont="1" applyFill="1" applyBorder="1" applyAlignment="1">
      <alignment horizontal="center" vertical="top" wrapText="1"/>
    </xf>
    <xf numFmtId="0" fontId="25" fillId="3" borderId="4" xfId="0" applyFont="1" applyFill="1" applyBorder="1" applyAlignment="1">
      <alignment horizontal="center" vertical="top" wrapText="1"/>
    </xf>
    <xf numFmtId="0" fontId="31" fillId="4" borderId="1" xfId="0" applyFont="1" applyFill="1" applyBorder="1" applyAlignment="1">
      <alignment horizontal="center" vertical="top" wrapText="1"/>
    </xf>
    <xf numFmtId="0" fontId="31" fillId="4" borderId="1" xfId="0" applyFont="1" applyFill="1" applyBorder="1" applyAlignment="1">
      <alignment vertical="top" wrapText="1"/>
    </xf>
    <xf numFmtId="0" fontId="1" fillId="4" borderId="1" xfId="0" applyFont="1" applyFill="1" applyBorder="1" applyAlignment="1">
      <alignment horizontal="center" vertical="top" wrapText="1"/>
    </xf>
    <xf numFmtId="0" fontId="12" fillId="3" borderId="4" xfId="0" applyFont="1" applyFill="1" applyBorder="1" applyAlignment="1">
      <alignment horizontal="center" vertical="top" wrapText="1"/>
    </xf>
    <xf numFmtId="0" fontId="13" fillId="5" borderId="1" xfId="0" applyFont="1" applyFill="1" applyBorder="1" applyAlignment="1">
      <alignment horizontal="center" vertical="top" wrapText="1"/>
    </xf>
    <xf numFmtId="0" fontId="13" fillId="5" borderId="1" xfId="0" applyFont="1" applyFill="1" applyBorder="1" applyAlignment="1">
      <alignment horizontal="justify" vertical="top" wrapText="1"/>
    </xf>
    <xf numFmtId="0" fontId="25" fillId="5" borderId="1" xfId="0" applyFont="1" applyFill="1" applyBorder="1" applyAlignment="1">
      <alignment horizontal="center" vertical="top" wrapText="1"/>
    </xf>
    <xf numFmtId="0" fontId="25" fillId="5" borderId="1" xfId="0" applyFont="1" applyFill="1" applyBorder="1" applyAlignment="1">
      <alignment vertical="top" wrapText="1"/>
    </xf>
    <xf numFmtId="0" fontId="31" fillId="5" borderId="1" xfId="0" applyFont="1" applyFill="1" applyBorder="1" applyAlignment="1">
      <alignment horizontal="center" vertical="top" wrapText="1"/>
    </xf>
    <xf numFmtId="0" fontId="12" fillId="4" borderId="6" xfId="0" applyFont="1" applyFill="1" applyBorder="1" applyAlignment="1">
      <alignment vertical="top" wrapText="1"/>
    </xf>
    <xf numFmtId="0" fontId="12" fillId="0" borderId="4" xfId="0" applyFont="1" applyBorder="1" applyAlignment="1">
      <alignment horizontal="center" vertical="top" wrapText="1"/>
    </xf>
    <xf numFmtId="0" fontId="13" fillId="4" borderId="1" xfId="0" applyFont="1" applyFill="1" applyBorder="1" applyAlignment="1">
      <alignment vertical="top" wrapText="1"/>
    </xf>
    <xf numFmtId="0" fontId="25" fillId="4" borderId="1" xfId="0" applyFont="1" applyFill="1" applyBorder="1" applyAlignment="1">
      <alignment horizontal="center" vertical="top" wrapText="1"/>
    </xf>
    <xf numFmtId="0" fontId="25" fillId="0" borderId="4" xfId="0" applyFont="1" applyBorder="1" applyAlignment="1">
      <alignment horizontal="center" vertical="top" wrapText="1"/>
    </xf>
    <xf numFmtId="0" fontId="1" fillId="4" borderId="6" xfId="0" applyFont="1" applyFill="1" applyBorder="1" applyAlignment="1">
      <alignment vertical="top" wrapText="1"/>
    </xf>
    <xf numFmtId="0" fontId="1" fillId="0" borderId="4" xfId="0" applyFont="1" applyBorder="1" applyAlignment="1">
      <alignment horizontal="center" vertical="top" wrapText="1"/>
    </xf>
    <xf numFmtId="0" fontId="31" fillId="5" borderId="1" xfId="0" applyFont="1" applyFill="1" applyBorder="1" applyAlignment="1">
      <alignment horizontal="justify" vertical="top" wrapText="1"/>
    </xf>
    <xf numFmtId="0" fontId="13" fillId="4" borderId="1" xfId="0" applyFont="1" applyFill="1" applyBorder="1" applyAlignment="1">
      <alignment horizontal="justify" vertical="top" wrapText="1"/>
    </xf>
    <xf numFmtId="0" fontId="31" fillId="4" borderId="1" xfId="0" applyFont="1" applyFill="1" applyBorder="1" applyAlignment="1">
      <alignment horizontal="justify" vertical="top" wrapText="1"/>
    </xf>
    <xf numFmtId="0" fontId="5" fillId="4" borderId="1" xfId="0" applyFont="1" applyFill="1" applyBorder="1" applyAlignment="1">
      <alignment horizontal="justify" vertical="top" wrapText="1"/>
    </xf>
    <xf numFmtId="0" fontId="12" fillId="5" borderId="1" xfId="0" applyFont="1" applyFill="1" applyBorder="1" applyAlignment="1">
      <alignment horizontal="center" vertical="top" wrapText="1"/>
    </xf>
    <xf numFmtId="0" fontId="12" fillId="5" borderId="1" xfId="0" applyFont="1" applyFill="1" applyBorder="1" applyAlignment="1">
      <alignment vertical="top" wrapText="1"/>
    </xf>
    <xf numFmtId="0" fontId="12" fillId="0" borderId="1" xfId="0" applyFont="1" applyBorder="1" applyAlignment="1">
      <alignment horizontal="center" vertical="top" wrapText="1"/>
    </xf>
    <xf numFmtId="0" fontId="25" fillId="4" borderId="1" xfId="0" applyFont="1" applyFill="1" applyBorder="1" applyAlignment="1">
      <alignment vertical="top" wrapText="1"/>
    </xf>
    <xf numFmtId="0" fontId="1" fillId="0" borderId="0" xfId="0" applyFont="1" applyAlignment="1">
      <alignment horizontal="center" vertical="top" wrapText="1"/>
    </xf>
    <xf numFmtId="0" fontId="25" fillId="0" borderId="0" xfId="0" applyFont="1" applyAlignment="1">
      <alignment horizontal="center" vertical="top" wrapText="1"/>
    </xf>
    <xf numFmtId="0" fontId="12" fillId="0" borderId="0" xfId="0" applyFont="1" applyAlignment="1">
      <alignment horizontal="center" vertical="top" wrapText="1"/>
    </xf>
    <xf numFmtId="0" fontId="13" fillId="6" borderId="1" xfId="0" applyFont="1" applyFill="1" applyBorder="1" applyAlignment="1">
      <alignment vertical="top" wrapText="1"/>
    </xf>
    <xf numFmtId="0" fontId="13" fillId="6" borderId="1" xfId="0" applyFont="1" applyFill="1" applyBorder="1" applyAlignment="1">
      <alignment horizontal="justify" vertical="top" wrapText="1"/>
    </xf>
    <xf numFmtId="0" fontId="25" fillId="6" borderId="1" xfId="0" applyFont="1" applyFill="1" applyBorder="1" applyAlignment="1">
      <alignment horizontal="center" vertical="top" wrapText="1"/>
    </xf>
    <xf numFmtId="0" fontId="31" fillId="6" borderId="1" xfId="0" applyFont="1" applyFill="1" applyBorder="1" applyAlignment="1">
      <alignment horizontal="justify" vertical="top" wrapText="1"/>
    </xf>
    <xf numFmtId="0" fontId="13" fillId="3" borderId="1" xfId="0" applyFont="1" applyFill="1" applyBorder="1" applyAlignment="1">
      <alignment vertical="top" wrapText="1"/>
    </xf>
    <xf numFmtId="0" fontId="27" fillId="0" borderId="1" xfId="0" applyFont="1" applyBorder="1" applyAlignment="1">
      <alignment horizontal="center" vertical="top" wrapText="1"/>
    </xf>
    <xf numFmtId="0" fontId="31" fillId="3" borderId="1" xfId="0" applyFont="1" applyFill="1" applyBorder="1" applyAlignment="1">
      <alignment horizontal="center" vertical="top" wrapText="1"/>
    </xf>
    <xf numFmtId="0" fontId="12" fillId="0" borderId="0" xfId="0" applyFont="1"/>
    <xf numFmtId="2" fontId="12" fillId="0" borderId="0" xfId="0" applyNumberFormat="1" applyFont="1"/>
    <xf numFmtId="0" fontId="12" fillId="0" borderId="0" xfId="0" applyFont="1" applyAlignment="1">
      <alignment horizontal="center"/>
    </xf>
    <xf numFmtId="0" fontId="13" fillId="0" borderId="0" xfId="0" applyFont="1" applyAlignment="1">
      <alignment vertical="top"/>
    </xf>
    <xf numFmtId="0" fontId="13" fillId="0" borderId="0" xfId="0" applyFont="1" applyAlignment="1">
      <alignment vertical="top" wrapText="1"/>
    </xf>
    <xf numFmtId="0" fontId="25" fillId="0" borderId="0" xfId="0" applyFont="1"/>
    <xf numFmtId="2" fontId="25" fillId="0" borderId="0" xfId="0" applyNumberFormat="1" applyFont="1"/>
    <xf numFmtId="0" fontId="25" fillId="0" borderId="0" xfId="0" applyFont="1" applyAlignment="1">
      <alignment horizontal="center"/>
    </xf>
    <xf numFmtId="0" fontId="12" fillId="0" borderId="0" xfId="0" applyFont="1" applyAlignment="1">
      <alignment vertical="top"/>
    </xf>
    <xf numFmtId="0" fontId="12" fillId="0" borderId="7" xfId="0" applyFont="1" applyBorder="1"/>
    <xf numFmtId="0" fontId="12" fillId="0" borderId="0" xfId="0" applyFont="1" applyAlignment="1"/>
    <xf numFmtId="0" fontId="12" fillId="0" borderId="0" xfId="0" applyFont="1" applyAlignment="1">
      <alignment horizontal="left"/>
    </xf>
    <xf numFmtId="0" fontId="31" fillId="0" borderId="0" xfId="0" applyFont="1" applyAlignment="1">
      <alignment vertical="top" wrapText="1"/>
    </xf>
    <xf numFmtId="0" fontId="8" fillId="0" borderId="5" xfId="0" applyFont="1" applyBorder="1" applyAlignment="1">
      <alignment vertical="top" wrapText="1"/>
    </xf>
    <xf numFmtId="0" fontId="0" fillId="0" borderId="0" xfId="0" applyFill="1"/>
    <xf numFmtId="0" fontId="37" fillId="0" borderId="1" xfId="0" applyFont="1" applyBorder="1" applyAlignment="1">
      <alignment horizontal="justify" vertical="top" wrapText="1"/>
    </xf>
    <xf numFmtId="2" fontId="40" fillId="2" borderId="1" xfId="0" applyNumberFormat="1" applyFont="1" applyFill="1" applyBorder="1" applyAlignment="1">
      <alignment horizontal="center"/>
    </xf>
    <xf numFmtId="0" fontId="37" fillId="0" borderId="1" xfId="0" applyFont="1" applyBorder="1" applyAlignment="1">
      <alignment horizontal="center" vertical="top" wrapText="1"/>
    </xf>
    <xf numFmtId="2" fontId="40" fillId="2" borderId="1" xfId="0" applyNumberFormat="1" applyFont="1" applyFill="1" applyBorder="1" applyAlignment="1">
      <alignment horizontal="center" wrapText="1"/>
    </xf>
    <xf numFmtId="0" fontId="37" fillId="11" borderId="1" xfId="0" applyFont="1" applyFill="1" applyBorder="1" applyAlignment="1">
      <alignment horizontal="center" vertical="top" wrapText="1"/>
    </xf>
    <xf numFmtId="2" fontId="37" fillId="11" borderId="1" xfId="0" applyNumberFormat="1" applyFont="1" applyFill="1" applyBorder="1" applyAlignment="1">
      <alignment horizontal="center" vertical="top" wrapText="1"/>
    </xf>
    <xf numFmtId="2" fontId="40" fillId="11" borderId="1" xfId="0" applyNumberFormat="1" applyFont="1" applyFill="1" applyBorder="1" applyAlignment="1">
      <alignment horizontal="center" wrapText="1"/>
    </xf>
    <xf numFmtId="0" fontId="37" fillId="11" borderId="1" xfId="0" applyFont="1" applyFill="1" applyBorder="1" applyAlignment="1">
      <alignment horizontal="justify" vertical="top" wrapText="1"/>
    </xf>
    <xf numFmtId="2" fontId="40" fillId="11" borderId="1" xfId="0" applyNumberFormat="1" applyFont="1" applyFill="1" applyBorder="1" applyAlignment="1">
      <alignment horizontal="center"/>
    </xf>
    <xf numFmtId="0" fontId="37" fillId="11" borderId="1" xfId="0" applyFont="1" applyFill="1" applyBorder="1" applyAlignment="1">
      <alignment vertical="top" wrapText="1"/>
    </xf>
    <xf numFmtId="2" fontId="37" fillId="0" borderId="1" xfId="0" applyNumberFormat="1" applyFont="1" applyBorder="1" applyAlignment="1">
      <alignment wrapText="1"/>
    </xf>
    <xf numFmtId="0" fontId="37" fillId="0" borderId="1" xfId="0" applyFont="1" applyBorder="1" applyAlignment="1">
      <alignment horizontal="center"/>
    </xf>
    <xf numFmtId="0" fontId="39" fillId="0" borderId="1" xfId="0" applyFont="1" applyBorder="1" applyAlignment="1">
      <alignment horizontal="center"/>
    </xf>
    <xf numFmtId="2" fontId="37" fillId="0" borderId="0" xfId="0" applyNumberFormat="1" applyFont="1"/>
    <xf numFmtId="0" fontId="37" fillId="0" borderId="1" xfId="0" applyFont="1" applyFill="1" applyBorder="1" applyAlignment="1">
      <alignment horizontal="justify" vertical="top" wrapText="1"/>
    </xf>
    <xf numFmtId="0" fontId="39" fillId="0" borderId="1" xfId="0" applyFont="1" applyFill="1" applyBorder="1"/>
    <xf numFmtId="0" fontId="37" fillId="0" borderId="0" xfId="0" applyFont="1" applyFill="1"/>
    <xf numFmtId="2" fontId="39" fillId="0" borderId="1" xfId="0" applyNumberFormat="1" applyFont="1" applyBorder="1" applyAlignment="1">
      <alignment horizontal="center"/>
    </xf>
    <xf numFmtId="2" fontId="39" fillId="11" borderId="1" xfId="0" applyNumberFormat="1" applyFont="1" applyFill="1" applyBorder="1" applyAlignment="1">
      <alignment horizontal="center"/>
    </xf>
    <xf numFmtId="0" fontId="40" fillId="2" borderId="1" xfId="0" applyFont="1" applyFill="1" applyBorder="1" applyAlignment="1">
      <alignment horizontal="center"/>
    </xf>
    <xf numFmtId="0" fontId="40" fillId="0" borderId="0" xfId="0" applyFont="1" applyAlignment="1">
      <alignment horizontal="center"/>
    </xf>
    <xf numFmtId="2" fontId="0" fillId="0" borderId="0" xfId="0" applyNumberFormat="1" applyAlignment="1">
      <alignment horizontal="center"/>
    </xf>
    <xf numFmtId="0" fontId="0" fillId="0" borderId="0" xfId="0" applyAlignment="1">
      <alignment horizontal="center"/>
    </xf>
    <xf numFmtId="0" fontId="41" fillId="0" borderId="0" xfId="0" applyFont="1" applyAlignment="1">
      <alignment horizontal="center"/>
    </xf>
    <xf numFmtId="0" fontId="42" fillId="4" borderId="1" xfId="0" applyFont="1" applyFill="1" applyBorder="1" applyAlignment="1">
      <alignment vertical="top" wrapText="1"/>
    </xf>
    <xf numFmtId="0" fontId="7" fillId="4" borderId="1" xfId="0" applyFont="1" applyFill="1" applyBorder="1" applyAlignment="1">
      <alignment vertical="top" wrapText="1"/>
    </xf>
    <xf numFmtId="0" fontId="2" fillId="4" borderId="1" xfId="0" applyFont="1" applyFill="1" applyBorder="1" applyAlignment="1">
      <alignment horizontal="center" vertical="top" wrapText="1"/>
    </xf>
    <xf numFmtId="0" fontId="2" fillId="4" borderId="6" xfId="0" applyFont="1" applyFill="1" applyBorder="1" applyAlignment="1">
      <alignment vertical="top" wrapText="1"/>
    </xf>
    <xf numFmtId="0" fontId="5" fillId="0" borderId="0" xfId="0" applyFont="1"/>
    <xf numFmtId="0" fontId="5" fillId="0" borderId="0" xfId="0" applyFont="1" applyAlignment="1"/>
    <xf numFmtId="2" fontId="37" fillId="0" borderId="1" xfId="0" applyNumberFormat="1" applyFont="1" applyBorder="1" applyAlignment="1">
      <alignment horizontal="center" vertical="top" wrapText="1"/>
    </xf>
    <xf numFmtId="0" fontId="5" fillId="0" borderId="8" xfId="0" applyFont="1" applyBorder="1" applyAlignment="1">
      <alignment horizontal="left" vertical="top" wrapText="1"/>
    </xf>
    <xf numFmtId="0" fontId="5" fillId="4" borderId="1" xfId="0" applyFont="1" applyFill="1" applyBorder="1" applyAlignment="1">
      <alignment horizontal="left" vertical="top" wrapText="1"/>
    </xf>
    <xf numFmtId="0" fontId="71" fillId="0" borderId="0" xfId="0" applyFont="1" applyAlignment="1">
      <alignment wrapText="1"/>
    </xf>
    <xf numFmtId="0" fontId="1" fillId="0" borderId="0" xfId="0" applyFont="1" applyAlignment="1">
      <alignment horizontal="left"/>
    </xf>
    <xf numFmtId="2" fontId="37" fillId="2" borderId="1" xfId="0" applyNumberFormat="1" applyFont="1" applyFill="1" applyBorder="1" applyAlignment="1">
      <alignment horizontal="center" vertical="top" wrapText="1"/>
    </xf>
    <xf numFmtId="0" fontId="37" fillId="12" borderId="1" xfId="0" applyFont="1" applyFill="1" applyBorder="1" applyAlignment="1">
      <alignment horizontal="justify" vertical="top" wrapText="1"/>
    </xf>
    <xf numFmtId="2" fontId="37" fillId="12" borderId="1" xfId="0" applyNumberFormat="1" applyFont="1" applyFill="1" applyBorder="1" applyAlignment="1">
      <alignment horizontal="center" vertical="top" wrapText="1"/>
    </xf>
    <xf numFmtId="0" fontId="37" fillId="12" borderId="1" xfId="0" applyFont="1" applyFill="1" applyBorder="1" applyAlignment="1">
      <alignment vertical="top" wrapText="1"/>
    </xf>
    <xf numFmtId="2" fontId="40" fillId="0" borderId="1" xfId="0" applyNumberFormat="1" applyFont="1" applyBorder="1" applyAlignment="1">
      <alignment wrapText="1"/>
    </xf>
    <xf numFmtId="0" fontId="37" fillId="0" borderId="1" xfId="0" applyFont="1" applyBorder="1" applyAlignment="1">
      <alignment horizontal="left" vertical="top" wrapText="1"/>
    </xf>
    <xf numFmtId="2" fontId="37" fillId="0" borderId="1" xfId="0" applyNumberFormat="1" applyFont="1" applyBorder="1" applyAlignment="1">
      <alignment horizontal="left" wrapText="1"/>
    </xf>
    <xf numFmtId="0" fontId="37" fillId="0" borderId="1" xfId="0" applyFont="1" applyFill="1" applyBorder="1"/>
    <xf numFmtId="2" fontId="40" fillId="12" borderId="1" xfId="0" applyNumberFormat="1" applyFont="1" applyFill="1" applyBorder="1" applyAlignment="1">
      <alignment horizontal="center" vertical="top" wrapText="1"/>
    </xf>
    <xf numFmtId="0" fontId="72" fillId="0" borderId="0" xfId="0" applyFont="1" applyFill="1"/>
    <xf numFmtId="2" fontId="72" fillId="0" borderId="1" xfId="0" applyNumberFormat="1" applyFont="1" applyBorder="1" applyAlignment="1">
      <alignment horizontal="center"/>
    </xf>
    <xf numFmtId="2" fontId="72" fillId="12" borderId="1" xfId="0" applyNumberFormat="1" applyFont="1" applyFill="1" applyBorder="1" applyAlignment="1">
      <alignment horizontal="center"/>
    </xf>
    <xf numFmtId="2" fontId="40" fillId="12" borderId="1" xfId="0" applyNumberFormat="1" applyFont="1" applyFill="1" applyBorder="1" applyAlignment="1">
      <alignment horizontal="center" wrapText="1"/>
    </xf>
    <xf numFmtId="2" fontId="40" fillId="12" borderId="1" xfId="0" applyNumberFormat="1" applyFont="1" applyFill="1" applyBorder="1" applyAlignment="1">
      <alignment horizontal="center"/>
    </xf>
    <xf numFmtId="2" fontId="72" fillId="0" borderId="1" xfId="0" applyNumberFormat="1" applyFont="1" applyFill="1" applyBorder="1"/>
    <xf numFmtId="0" fontId="72" fillId="0" borderId="0" xfId="0" applyFont="1"/>
    <xf numFmtId="2" fontId="72" fillId="0" borderId="0" xfId="0" applyNumberFormat="1" applyFont="1"/>
    <xf numFmtId="2" fontId="72" fillId="0" borderId="0" xfId="0" applyNumberFormat="1" applyFont="1" applyAlignment="1">
      <alignment horizontal="center"/>
    </xf>
    <xf numFmtId="0" fontId="5" fillId="2" borderId="5" xfId="0" applyFont="1" applyFill="1" applyBorder="1" applyAlignment="1">
      <alignment horizontal="left" vertical="top" wrapText="1"/>
    </xf>
    <xf numFmtId="0" fontId="1" fillId="4" borderId="1" xfId="0" applyFont="1" applyFill="1" applyBorder="1" applyAlignment="1">
      <alignment horizontal="left" vertical="center" wrapText="1"/>
    </xf>
    <xf numFmtId="0" fontId="73" fillId="0" borderId="1" xfId="0" applyFont="1" applyBorder="1" applyAlignment="1">
      <alignment horizontal="left" vertical="center" wrapText="1"/>
    </xf>
    <xf numFmtId="0" fontId="1" fillId="4" borderId="6" xfId="0" applyFont="1" applyFill="1" applyBorder="1" applyAlignment="1">
      <alignment horizontal="left" vertical="top" wrapText="1"/>
    </xf>
    <xf numFmtId="0" fontId="1" fillId="4" borderId="6" xfId="0" applyFont="1" applyFill="1" applyBorder="1" applyAlignment="1">
      <alignment horizontal="left" vertical="center" wrapText="1"/>
    </xf>
    <xf numFmtId="0" fontId="73" fillId="0" borderId="0" xfId="0" applyFont="1" applyAlignment="1">
      <alignment horizontal="left" wrapText="1"/>
    </xf>
    <xf numFmtId="0" fontId="74" fillId="0" borderId="0" xfId="0" applyFont="1" applyAlignment="1">
      <alignment horizontal="left" vertical="center"/>
    </xf>
    <xf numFmtId="0" fontId="2" fillId="4" borderId="6" xfId="0" applyFont="1" applyFill="1" applyBorder="1" applyAlignment="1">
      <alignment horizontal="left" vertical="top" wrapText="1"/>
    </xf>
    <xf numFmtId="0" fontId="1" fillId="0" borderId="0" xfId="0" applyFont="1" applyAlignment="1">
      <alignment horizontal="left" vertical="top" wrapText="1"/>
    </xf>
    <xf numFmtId="0" fontId="5" fillId="0" borderId="0" xfId="0" applyFont="1" applyAlignment="1">
      <alignment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3" xfId="0" applyFont="1" applyFill="1" applyBorder="1" applyAlignment="1">
      <alignment horizontal="left" vertical="top" wrapText="1"/>
    </xf>
    <xf numFmtId="0" fontId="5" fillId="2" borderId="14" xfId="0" applyFont="1" applyFill="1" applyBorder="1" applyAlignment="1">
      <alignment vertical="center"/>
    </xf>
    <xf numFmtId="0" fontId="5" fillId="2" borderId="6" xfId="0" applyFont="1" applyFill="1" applyBorder="1" applyAlignment="1">
      <alignment horizontal="right" vertical="center" wrapText="1"/>
    </xf>
    <xf numFmtId="0" fontId="5" fillId="2" borderId="4" xfId="0" applyFont="1" applyFill="1" applyBorder="1" applyAlignment="1">
      <alignment horizontal="left" vertical="center"/>
    </xf>
    <xf numFmtId="0" fontId="1" fillId="0" borderId="6" xfId="0" applyFont="1" applyBorder="1" applyAlignment="1">
      <alignment horizontal="right" vertical="center"/>
    </xf>
    <xf numFmtId="0" fontId="1" fillId="0" borderId="4" xfId="0" applyFont="1" applyBorder="1" applyAlignment="1">
      <alignment horizontal="left" vertical="center"/>
    </xf>
    <xf numFmtId="49" fontId="1" fillId="0" borderId="11" xfId="0" applyNumberFormat="1" applyFont="1" applyBorder="1" applyAlignment="1">
      <alignment horizontal="center" vertical="top" wrapText="1"/>
    </xf>
    <xf numFmtId="49" fontId="5" fillId="2" borderId="8" xfId="0" applyNumberFormat="1" applyFont="1" applyFill="1" applyBorder="1" applyAlignment="1">
      <alignment horizontal="right" vertical="center" wrapText="1"/>
    </xf>
    <xf numFmtId="0" fontId="5" fillId="2" borderId="11" xfId="0" applyFont="1" applyFill="1" applyBorder="1" applyAlignment="1">
      <alignment horizontal="left" vertical="center"/>
    </xf>
    <xf numFmtId="0" fontId="5" fillId="2" borderId="6" xfId="0" applyFont="1" applyFill="1" applyBorder="1" applyAlignment="1">
      <alignment horizontal="right" wrapText="1"/>
    </xf>
    <xf numFmtId="0" fontId="5" fillId="2" borderId="4" xfId="0" applyFont="1" applyFill="1" applyBorder="1" applyAlignment="1">
      <alignment horizontal="left"/>
    </xf>
    <xf numFmtId="0" fontId="1" fillId="0" borderId="6" xfId="0" applyFont="1" applyBorder="1" applyAlignment="1">
      <alignment horizontal="right"/>
    </xf>
    <xf numFmtId="0" fontId="1" fillId="0" borderId="4" xfId="0" applyFont="1" applyBorder="1" applyAlignment="1">
      <alignment horizontal="left"/>
    </xf>
    <xf numFmtId="0" fontId="1" fillId="0" borderId="5" xfId="0" applyFont="1" applyBorder="1" applyAlignment="1">
      <alignment horizontal="left" vertical="top" wrapText="1"/>
    </xf>
    <xf numFmtId="0" fontId="5" fillId="2" borderId="8" xfId="0" applyFont="1" applyFill="1" applyBorder="1" applyAlignment="1">
      <alignment horizontal="right" wrapText="1"/>
    </xf>
    <xf numFmtId="0" fontId="5" fillId="2" borderId="11" xfId="0" applyFont="1" applyFill="1" applyBorder="1" applyAlignment="1">
      <alignment horizontal="left"/>
    </xf>
    <xf numFmtId="0" fontId="1" fillId="0" borderId="13" xfId="0" applyFont="1" applyBorder="1" applyAlignment="1">
      <alignment horizontal="right"/>
    </xf>
    <xf numFmtId="0" fontId="1" fillId="0" borderId="14" xfId="0" applyFont="1" applyBorder="1" applyAlignment="1">
      <alignment horizontal="left"/>
    </xf>
    <xf numFmtId="0" fontId="5" fillId="0" borderId="9" xfId="0" applyFont="1" applyBorder="1" applyAlignment="1">
      <alignment horizontal="right" vertical="center"/>
    </xf>
    <xf numFmtId="2" fontId="5" fillId="0" borderId="12" xfId="0" applyNumberFormat="1" applyFont="1" applyBorder="1" applyAlignment="1">
      <alignment horizontal="left" vertical="center"/>
    </xf>
    <xf numFmtId="0" fontId="5" fillId="2" borderId="9" xfId="0" applyFont="1" applyFill="1" applyBorder="1" applyAlignment="1">
      <alignment horizontal="left"/>
    </xf>
    <xf numFmtId="0" fontId="5" fillId="2" borderId="12" xfId="0" applyFont="1" applyFill="1" applyBorder="1" applyAlignment="1">
      <alignment vertical="center"/>
    </xf>
    <xf numFmtId="0" fontId="5" fillId="2" borderId="9" xfId="0" applyFont="1" applyFill="1" applyBorder="1" applyAlignment="1">
      <alignment horizontal="left" wrapText="1"/>
    </xf>
    <xf numFmtId="0" fontId="1" fillId="0" borderId="9" xfId="0" applyFont="1" applyFill="1" applyBorder="1" applyAlignment="1">
      <alignment horizontal="right" vertical="center"/>
    </xf>
    <xf numFmtId="0" fontId="1" fillId="0" borderId="12" xfId="0" applyFont="1" applyFill="1" applyBorder="1"/>
    <xf numFmtId="0" fontId="5" fillId="2" borderId="13" xfId="0" applyFont="1" applyFill="1" applyBorder="1"/>
    <xf numFmtId="0" fontId="5" fillId="2" borderId="14" xfId="0" applyFont="1" applyFill="1" applyBorder="1"/>
    <xf numFmtId="49" fontId="5" fillId="2" borderId="9" xfId="0" applyNumberFormat="1" applyFont="1" applyFill="1" applyBorder="1" applyAlignment="1">
      <alignment horizontal="right" vertical="center" wrapText="1"/>
    </xf>
    <xf numFmtId="0" fontId="1" fillId="0" borderId="9" xfId="0" applyFont="1" applyBorder="1" applyAlignment="1">
      <alignment horizontal="right" vertical="center"/>
    </xf>
    <xf numFmtId="0" fontId="1" fillId="0" borderId="12" xfId="0" applyFont="1" applyBorder="1" applyAlignment="1">
      <alignment horizontal="left" vertical="center"/>
    </xf>
    <xf numFmtId="49" fontId="1" fillId="0" borderId="0" xfId="0" applyNumberFormat="1" applyFont="1" applyBorder="1" applyAlignment="1">
      <alignment horizontal="center" vertical="top" wrapText="1"/>
    </xf>
    <xf numFmtId="0" fontId="5" fillId="2" borderId="8" xfId="0" applyFont="1" applyFill="1" applyBorder="1"/>
    <xf numFmtId="0" fontId="5" fillId="2" borderId="11" xfId="0" applyFont="1" applyFill="1" applyBorder="1"/>
    <xf numFmtId="49" fontId="5" fillId="2" borderId="6" xfId="0" applyNumberFormat="1" applyFont="1" applyFill="1" applyBorder="1" applyAlignment="1">
      <alignment horizontal="right" vertical="center" wrapText="1"/>
    </xf>
    <xf numFmtId="0" fontId="1" fillId="0" borderId="4" xfId="0" applyFont="1" applyBorder="1"/>
    <xf numFmtId="0" fontId="5" fillId="2" borderId="8" xfId="0" applyFont="1" applyFill="1" applyBorder="1" applyAlignment="1">
      <alignment horizontal="right" vertical="top"/>
    </xf>
    <xf numFmtId="0" fontId="5" fillId="2" borderId="11" xfId="0" applyFont="1" applyFill="1" applyBorder="1" applyAlignment="1">
      <alignment horizontal="left" vertical="top"/>
    </xf>
    <xf numFmtId="49" fontId="5" fillId="0" borderId="10" xfId="0" applyNumberFormat="1" applyFont="1" applyBorder="1" applyAlignment="1">
      <alignment horizontal="right" vertical="top"/>
    </xf>
    <xf numFmtId="2" fontId="5" fillId="0" borderId="12" xfId="0" applyNumberFormat="1" applyFont="1" applyBorder="1" applyAlignment="1">
      <alignment horizontal="left" vertical="top"/>
    </xf>
    <xf numFmtId="0" fontId="5" fillId="2" borderId="9" xfId="0" applyFont="1" applyFill="1" applyBorder="1"/>
    <xf numFmtId="0" fontId="5" fillId="2" borderId="12" xfId="0" applyFont="1" applyFill="1" applyBorder="1"/>
    <xf numFmtId="0" fontId="5" fillId="2" borderId="13" xfId="0" applyFont="1" applyFill="1" applyBorder="1" applyAlignment="1">
      <alignment horizontal="right"/>
    </xf>
    <xf numFmtId="0" fontId="5" fillId="2" borderId="14" xfId="0" applyFont="1" applyFill="1" applyBorder="1" applyAlignment="1">
      <alignment horizontal="left"/>
    </xf>
    <xf numFmtId="0" fontId="1" fillId="0" borderId="8" xfId="0" applyFont="1" applyBorder="1" applyAlignment="1">
      <alignment horizontal="center" vertical="top" wrapText="1"/>
    </xf>
    <xf numFmtId="0" fontId="1" fillId="0" borderId="11" xfId="0" applyFont="1" applyBorder="1" applyAlignment="1">
      <alignment horizontal="center" vertical="top" wrapText="1"/>
    </xf>
    <xf numFmtId="0" fontId="5" fillId="2" borderId="8" xfId="0" applyFont="1" applyFill="1" applyBorder="1" applyAlignment="1">
      <alignment horizontal="right" vertical="center"/>
    </xf>
    <xf numFmtId="0" fontId="1" fillId="0" borderId="5" xfId="0" applyFont="1" applyBorder="1" applyAlignment="1">
      <alignment vertical="top" wrapText="1"/>
    </xf>
    <xf numFmtId="0" fontId="1" fillId="0" borderId="13" xfId="0" applyFont="1" applyBorder="1" applyAlignment="1">
      <alignment horizontal="left" vertical="top" wrapText="1"/>
    </xf>
    <xf numFmtId="49" fontId="5" fillId="2" borderId="8" xfId="0" applyNumberFormat="1" applyFont="1" applyFill="1" applyBorder="1" applyAlignment="1">
      <alignment horizontal="right" vertical="top" wrapText="1"/>
    </xf>
    <xf numFmtId="0" fontId="5" fillId="2" borderId="0" xfId="0" applyFont="1" applyFill="1" applyBorder="1" applyAlignment="1">
      <alignment horizontal="left" vertical="top"/>
    </xf>
    <xf numFmtId="0" fontId="1" fillId="0" borderId="13" xfId="0" applyFont="1" applyBorder="1" applyAlignment="1">
      <alignment horizontal="right" vertical="top"/>
    </xf>
    <xf numFmtId="0" fontId="1" fillId="0" borderId="14" xfId="0" applyFont="1" applyBorder="1" applyAlignment="1">
      <alignment horizontal="left" vertical="top"/>
    </xf>
    <xf numFmtId="0" fontId="5" fillId="0" borderId="8" xfId="0" applyFont="1" applyBorder="1" applyAlignment="1">
      <alignment horizontal="right" vertical="top"/>
    </xf>
    <xf numFmtId="2" fontId="5" fillId="0" borderId="11" xfId="0" applyNumberFormat="1" applyFont="1" applyBorder="1" applyAlignment="1">
      <alignment horizontal="left" vertical="top"/>
    </xf>
    <xf numFmtId="0" fontId="5" fillId="2" borderId="10" xfId="0" applyFont="1" applyFill="1" applyBorder="1" applyAlignment="1">
      <alignment horizontal="left" vertical="top"/>
    </xf>
    <xf numFmtId="0" fontId="1" fillId="0" borderId="9" xfId="0" applyFont="1" applyBorder="1" applyAlignment="1">
      <alignment horizontal="right" vertical="top"/>
    </xf>
    <xf numFmtId="0" fontId="1" fillId="0" borderId="12" xfId="0" applyFont="1" applyFill="1" applyBorder="1" applyAlignment="1">
      <alignment horizontal="left" vertical="top"/>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right" vertical="center"/>
    </xf>
    <xf numFmtId="0" fontId="1" fillId="0" borderId="14" xfId="0" applyFont="1" applyBorder="1" applyAlignment="1">
      <alignment horizontal="left" vertical="center"/>
    </xf>
    <xf numFmtId="0" fontId="1" fillId="0" borderId="2" xfId="0" applyFont="1" applyBorder="1" applyAlignment="1">
      <alignment horizontal="left" vertical="top" wrapText="1"/>
    </xf>
    <xf numFmtId="0" fontId="5" fillId="2" borderId="10" xfId="0" applyFont="1" applyFill="1" applyBorder="1" applyAlignment="1">
      <alignment horizontal="left" vertical="center"/>
    </xf>
    <xf numFmtId="0" fontId="1" fillId="0" borderId="12" xfId="0" applyFont="1" applyFill="1" applyBorder="1" applyAlignment="1">
      <alignment horizontal="left" vertical="center"/>
    </xf>
    <xf numFmtId="0" fontId="5" fillId="0" borderId="11" xfId="0" applyFont="1" applyBorder="1" applyAlignment="1">
      <alignment horizontal="left" vertical="top" wrapText="1"/>
    </xf>
    <xf numFmtId="0" fontId="5" fillId="2" borderId="8" xfId="0" applyFont="1" applyFill="1" applyBorder="1" applyAlignment="1">
      <alignment horizontal="right"/>
    </xf>
    <xf numFmtId="0" fontId="1" fillId="0" borderId="13" xfId="0" applyFont="1" applyBorder="1" applyAlignment="1">
      <alignment vertical="top" wrapText="1"/>
    </xf>
    <xf numFmtId="0" fontId="1" fillId="0" borderId="8" xfId="0" applyFont="1" applyBorder="1"/>
    <xf numFmtId="0" fontId="5" fillId="2" borderId="0" xfId="0" applyFont="1" applyFill="1"/>
    <xf numFmtId="0" fontId="1" fillId="0" borderId="8" xfId="0" applyFont="1" applyFill="1" applyBorder="1"/>
    <xf numFmtId="0" fontId="1" fillId="0" borderId="11" xfId="0" applyFont="1" applyFill="1" applyBorder="1"/>
    <xf numFmtId="0" fontId="5" fillId="0" borderId="9" xfId="0" applyFont="1" applyBorder="1" applyAlignment="1">
      <alignment horizontal="right"/>
    </xf>
    <xf numFmtId="2" fontId="5" fillId="0" borderId="12" xfId="0" applyNumberFormat="1" applyFont="1" applyBorder="1" applyAlignment="1">
      <alignment horizontal="left"/>
    </xf>
    <xf numFmtId="0" fontId="1" fillId="0" borderId="9" xfId="0" applyFont="1" applyBorder="1"/>
    <xf numFmtId="0" fontId="5" fillId="2" borderId="10" xfId="0" applyFont="1" applyFill="1" applyBorder="1"/>
    <xf numFmtId="0" fontId="1" fillId="0" borderId="9" xfId="0" applyFont="1" applyFill="1" applyBorder="1"/>
    <xf numFmtId="0" fontId="5" fillId="2" borderId="6" xfId="0" applyFont="1" applyFill="1" applyBorder="1" applyAlignment="1">
      <alignment horizontal="right" vertical="center"/>
    </xf>
    <xf numFmtId="0" fontId="1" fillId="0" borderId="1" xfId="0" applyFont="1" applyBorder="1" applyAlignment="1">
      <alignment wrapText="1"/>
    </xf>
    <xf numFmtId="0" fontId="1" fillId="0" borderId="11" xfId="0" applyFont="1" applyBorder="1"/>
    <xf numFmtId="0" fontId="5" fillId="0" borderId="9" xfId="0" applyFont="1" applyBorder="1" applyAlignment="1">
      <alignment horizontal="right" vertical="top"/>
    </xf>
    <xf numFmtId="0" fontId="5" fillId="2" borderId="15" xfId="0" applyFont="1" applyFill="1" applyBorder="1"/>
    <xf numFmtId="0" fontId="5" fillId="2" borderId="0" xfId="0" applyFont="1" applyFill="1" applyBorder="1" applyAlignment="1">
      <alignment horizontal="right" vertical="center"/>
    </xf>
    <xf numFmtId="0" fontId="5" fillId="2" borderId="0" xfId="0" applyFont="1" applyFill="1" applyBorder="1" applyAlignment="1">
      <alignment horizontal="left" vertical="center"/>
    </xf>
    <xf numFmtId="0" fontId="5" fillId="2" borderId="0" xfId="0" applyFont="1" applyFill="1" applyBorder="1"/>
    <xf numFmtId="0" fontId="5" fillId="2" borderId="13" xfId="0" applyFont="1" applyFill="1" applyBorder="1" applyAlignment="1">
      <alignment horizontal="right" vertical="center"/>
    </xf>
    <xf numFmtId="0" fontId="5" fillId="2" borderId="14" xfId="0" applyFont="1" applyFill="1" applyBorder="1" applyAlignment="1">
      <alignment horizontal="left" vertical="center"/>
    </xf>
    <xf numFmtId="2" fontId="5" fillId="0" borderId="10" xfId="0" applyNumberFormat="1" applyFont="1" applyBorder="1" applyAlignment="1">
      <alignment horizontal="left"/>
    </xf>
    <xf numFmtId="0" fontId="1" fillId="0" borderId="0" xfId="0" applyFont="1" applyFill="1"/>
    <xf numFmtId="0" fontId="5" fillId="0" borderId="8" xfId="0" applyFont="1" applyBorder="1" applyAlignment="1">
      <alignment horizontal="right"/>
    </xf>
    <xf numFmtId="2" fontId="5" fillId="0" borderId="11" xfId="0" applyNumberFormat="1" applyFont="1" applyBorder="1" applyAlignment="1">
      <alignment horizontal="left"/>
    </xf>
    <xf numFmtId="0" fontId="5" fillId="2" borderId="7" xfId="0" applyFont="1" applyFill="1" applyBorder="1" applyAlignment="1">
      <alignment horizontal="right" vertical="center"/>
    </xf>
    <xf numFmtId="0" fontId="5" fillId="13" borderId="6" xfId="0" applyFont="1" applyFill="1" applyBorder="1" applyAlignment="1">
      <alignment vertical="center"/>
    </xf>
    <xf numFmtId="0" fontId="5" fillId="13" borderId="7" xfId="0" applyFont="1" applyFill="1" applyBorder="1" applyAlignment="1">
      <alignment horizontal="right" vertical="center"/>
    </xf>
    <xf numFmtId="2" fontId="5" fillId="13" borderId="7" xfId="0" applyNumberFormat="1" applyFont="1" applyFill="1" applyBorder="1" applyAlignment="1">
      <alignment horizontal="left"/>
    </xf>
    <xf numFmtId="0" fontId="1" fillId="13" borderId="7" xfId="0" applyFont="1" applyFill="1" applyBorder="1"/>
    <xf numFmtId="0" fontId="5" fillId="13" borderId="7" xfId="0" applyFont="1" applyFill="1" applyBorder="1" applyAlignment="1">
      <alignment horizontal="left"/>
    </xf>
    <xf numFmtId="0" fontId="5" fillId="13" borderId="7" xfId="0" applyFont="1" applyFill="1" applyBorder="1"/>
    <xf numFmtId="0" fontId="5" fillId="13" borderId="7" xfId="0" applyFont="1" applyFill="1" applyBorder="1" applyAlignment="1">
      <alignment horizontal="right"/>
    </xf>
    <xf numFmtId="0" fontId="6" fillId="0" borderId="0" xfId="0" applyFont="1"/>
    <xf numFmtId="0" fontId="1" fillId="0" borderId="1" xfId="0" applyFont="1" applyBorder="1" applyAlignment="1">
      <alignment horizontal="left" vertical="top" wrapText="1"/>
    </xf>
    <xf numFmtId="0" fontId="30" fillId="2" borderId="9" xfId="0" applyFont="1" applyFill="1" applyBorder="1" applyAlignment="1">
      <alignment horizontal="left"/>
    </xf>
    <xf numFmtId="0" fontId="1" fillId="0" borderId="12" xfId="0" applyFont="1" applyBorder="1"/>
    <xf numFmtId="0" fontId="30" fillId="2" borderId="13" xfId="0" applyFont="1" applyFill="1" applyBorder="1"/>
    <xf numFmtId="0" fontId="30" fillId="2" borderId="14" xfId="0" applyFont="1" applyFill="1" applyBorder="1"/>
    <xf numFmtId="0" fontId="6" fillId="0" borderId="4" xfId="0" applyFont="1" applyBorder="1" applyAlignment="1">
      <alignment horizontal="left" vertical="center"/>
    </xf>
    <xf numFmtId="0" fontId="30" fillId="2" borderId="8" xfId="0" applyFont="1" applyFill="1" applyBorder="1"/>
    <xf numFmtId="0" fontId="30" fillId="2" borderId="11" xfId="0" applyFont="1" applyFill="1" applyBorder="1"/>
    <xf numFmtId="0" fontId="1" fillId="0" borderId="7" xfId="0" applyFont="1" applyBorder="1" applyAlignment="1">
      <alignment horizontal="right" vertical="center"/>
    </xf>
    <xf numFmtId="0" fontId="6" fillId="0" borderId="4" xfId="0" applyFont="1" applyBorder="1"/>
    <xf numFmtId="0" fontId="30" fillId="2" borderId="9" xfId="0" applyFont="1" applyFill="1" applyBorder="1"/>
    <xf numFmtId="0" fontId="30" fillId="2" borderId="12" xfId="0" applyFont="1" applyFill="1" applyBorder="1"/>
    <xf numFmtId="0" fontId="1" fillId="0" borderId="1" xfId="0" applyFont="1" applyFill="1" applyBorder="1" applyAlignment="1">
      <alignment horizontal="left" vertical="top" wrapText="1"/>
    </xf>
    <xf numFmtId="49" fontId="5" fillId="2" borderId="8" xfId="0" applyNumberFormat="1" applyFont="1" applyFill="1" applyBorder="1" applyAlignment="1">
      <alignment vertical="top"/>
    </xf>
    <xf numFmtId="49" fontId="5" fillId="2" borderId="11" xfId="0" applyNumberFormat="1" applyFont="1" applyFill="1" applyBorder="1" applyAlignment="1">
      <alignment vertical="top"/>
    </xf>
    <xf numFmtId="0" fontId="1" fillId="0" borderId="11" xfId="0" applyFont="1" applyBorder="1" applyAlignment="1">
      <alignment horizontal="left" vertical="top" wrapText="1"/>
    </xf>
    <xf numFmtId="0" fontId="1" fillId="0" borderId="8" xfId="0" applyFont="1" applyBorder="1" applyAlignment="1">
      <alignment horizontal="right" vertical="top"/>
    </xf>
    <xf numFmtId="0" fontId="1" fillId="0" borderId="11" xfId="0" applyFont="1" applyBorder="1" applyAlignment="1">
      <alignment horizontal="left" vertical="top"/>
    </xf>
    <xf numFmtId="2" fontId="5" fillId="0" borderId="11" xfId="0" applyNumberFormat="1" applyFont="1" applyBorder="1" applyAlignment="1">
      <alignment horizontal="left" vertical="center"/>
    </xf>
    <xf numFmtId="49" fontId="5" fillId="2" borderId="9" xfId="0" applyNumberFormat="1" applyFont="1" applyFill="1" applyBorder="1" applyAlignment="1">
      <alignment horizontal="right" vertical="top" wrapText="1"/>
    </xf>
    <xf numFmtId="0" fontId="5" fillId="2" borderId="12" xfId="0" applyFont="1" applyFill="1" applyBorder="1" applyAlignment="1">
      <alignment horizontal="left" vertical="top"/>
    </xf>
    <xf numFmtId="0" fontId="1" fillId="0" borderId="12" xfId="0" applyFont="1" applyBorder="1" applyAlignment="1">
      <alignment horizontal="left" vertical="top"/>
    </xf>
    <xf numFmtId="0" fontId="1" fillId="5" borderId="7" xfId="0" applyFont="1" applyFill="1" applyBorder="1" applyAlignment="1">
      <alignment horizontal="right" vertical="center"/>
    </xf>
    <xf numFmtId="0" fontId="1" fillId="5" borderId="4" xfId="0" applyFont="1" applyFill="1" applyBorder="1" applyAlignment="1">
      <alignment horizontal="left" vertical="center"/>
    </xf>
    <xf numFmtId="0" fontId="1" fillId="5" borderId="3" xfId="0" applyFont="1" applyFill="1" applyBorder="1" applyAlignment="1">
      <alignment horizontal="left" vertical="top" wrapText="1"/>
    </xf>
    <xf numFmtId="0" fontId="1" fillId="5" borderId="0" xfId="0" applyFont="1" applyFill="1" applyBorder="1" applyAlignment="1">
      <alignment horizontal="right" vertical="center"/>
    </xf>
    <xf numFmtId="0" fontId="1" fillId="5" borderId="11" xfId="0" applyFont="1" applyFill="1" applyBorder="1" applyAlignment="1">
      <alignment horizontal="left" vertical="center"/>
    </xf>
    <xf numFmtId="0" fontId="1" fillId="5" borderId="9" xfId="0" applyFont="1" applyFill="1" applyBorder="1" applyAlignment="1">
      <alignment horizontal="right" vertical="top"/>
    </xf>
    <xf numFmtId="2" fontId="1" fillId="5" borderId="12" xfId="0" applyNumberFormat="1" applyFont="1" applyFill="1" applyBorder="1" applyAlignment="1">
      <alignment horizontal="left" vertical="top"/>
    </xf>
    <xf numFmtId="0" fontId="1" fillId="5" borderId="3" xfId="0" applyFont="1" applyFill="1" applyBorder="1" applyAlignment="1">
      <alignment horizontal="left" vertical="top"/>
    </xf>
    <xf numFmtId="0" fontId="1" fillId="5" borderId="10" xfId="0" applyFont="1" applyFill="1" applyBorder="1" applyAlignment="1">
      <alignment horizontal="right" vertical="center"/>
    </xf>
    <xf numFmtId="0" fontId="1" fillId="5" borderId="12" xfId="0" applyFont="1" applyFill="1" applyBorder="1" applyAlignment="1">
      <alignment horizontal="left" vertical="center"/>
    </xf>
    <xf numFmtId="49" fontId="5" fillId="2" borderId="10" xfId="0" applyNumberFormat="1" applyFont="1" applyFill="1" applyBorder="1" applyAlignment="1">
      <alignment horizontal="right" vertical="center" wrapText="1"/>
    </xf>
    <xf numFmtId="0" fontId="1" fillId="0" borderId="10" xfId="0" applyFont="1" applyBorder="1" applyAlignment="1">
      <alignment horizontal="right" vertical="center"/>
    </xf>
    <xf numFmtId="49" fontId="5" fillId="2" borderId="13" xfId="0" applyNumberFormat="1" applyFont="1" applyFill="1" applyBorder="1" applyAlignment="1">
      <alignment horizontal="right" vertical="center" wrapText="1"/>
    </xf>
    <xf numFmtId="0" fontId="1" fillId="0" borderId="15" xfId="0" applyFont="1" applyBorder="1" applyAlignment="1">
      <alignment horizontal="right" vertical="center"/>
    </xf>
    <xf numFmtId="0" fontId="5" fillId="2" borderId="9" xfId="0" applyFont="1" applyFill="1" applyBorder="1" applyAlignment="1">
      <alignment horizontal="right" vertical="top"/>
    </xf>
    <xf numFmtId="0" fontId="5" fillId="0" borderId="8" xfId="0" applyFont="1" applyBorder="1" applyAlignment="1">
      <alignment horizontal="right" vertical="center"/>
    </xf>
    <xf numFmtId="0" fontId="1" fillId="0" borderId="0" xfId="0" applyFont="1" applyBorder="1" applyAlignment="1">
      <alignment horizontal="right" vertical="center"/>
    </xf>
    <xf numFmtId="0" fontId="1" fillId="0" borderId="11" xfId="0" applyFont="1" applyBorder="1" applyAlignment="1">
      <alignment horizontal="left" vertical="center"/>
    </xf>
    <xf numFmtId="0" fontId="1" fillId="0" borderId="8" xfId="0" applyFont="1" applyBorder="1" applyAlignment="1">
      <alignment horizontal="left" vertical="top"/>
    </xf>
    <xf numFmtId="0" fontId="1" fillId="0" borderId="9" xfId="0" applyFont="1" applyBorder="1" applyAlignment="1">
      <alignment horizontal="right"/>
    </xf>
    <xf numFmtId="2" fontId="1" fillId="0" borderId="12" xfId="0" applyNumberFormat="1" applyFont="1" applyBorder="1" applyAlignment="1">
      <alignment horizontal="left"/>
    </xf>
    <xf numFmtId="0" fontId="1" fillId="0" borderId="9" xfId="0" applyFont="1" applyBorder="1" applyAlignment="1">
      <alignment horizontal="left" vertical="top"/>
    </xf>
    <xf numFmtId="0" fontId="5" fillId="2" borderId="11" xfId="0" applyNumberFormat="1" applyFont="1" applyFill="1" applyBorder="1" applyAlignment="1">
      <alignment horizontal="left" vertical="center"/>
    </xf>
    <xf numFmtId="49" fontId="5" fillId="2" borderId="11" xfId="0" applyNumberFormat="1" applyFont="1" applyFill="1" applyBorder="1" applyAlignment="1">
      <alignment horizontal="left"/>
    </xf>
    <xf numFmtId="0" fontId="5" fillId="2" borderId="0" xfId="0" applyFont="1" applyFill="1" applyBorder="1" applyAlignment="1">
      <alignment horizontal="right"/>
    </xf>
    <xf numFmtId="0" fontId="5" fillId="2" borderId="0" xfId="0" applyFont="1" applyFill="1" applyBorder="1" applyAlignment="1">
      <alignment horizontal="left"/>
    </xf>
    <xf numFmtId="0" fontId="1" fillId="0" borderId="8" xfId="0" applyFont="1" applyBorder="1" applyAlignment="1">
      <alignment horizontal="right" vertical="center"/>
    </xf>
    <xf numFmtId="0" fontId="5" fillId="2" borderId="9" xfId="0" applyFont="1" applyFill="1" applyBorder="1" applyAlignment="1">
      <alignment horizontal="right"/>
    </xf>
    <xf numFmtId="0" fontId="5" fillId="2" borderId="12" xfId="0" applyFont="1" applyFill="1" applyBorder="1" applyAlignment="1">
      <alignment horizontal="left"/>
    </xf>
    <xf numFmtId="49" fontId="5" fillId="2" borderId="12" xfId="0" applyNumberFormat="1" applyFont="1" applyFill="1" applyBorder="1" applyAlignment="1">
      <alignment horizontal="left" vertical="top"/>
    </xf>
    <xf numFmtId="0" fontId="5" fillId="2" borderId="15" xfId="0" applyFont="1" applyFill="1" applyBorder="1" applyAlignment="1">
      <alignment horizontal="right" vertical="top"/>
    </xf>
    <xf numFmtId="49" fontId="5" fillId="2" borderId="15" xfId="0" applyNumberFormat="1" applyFont="1" applyFill="1" applyBorder="1" applyAlignment="1">
      <alignment horizontal="left" vertical="top"/>
    </xf>
    <xf numFmtId="0" fontId="5" fillId="0" borderId="8" xfId="0" applyFont="1" applyBorder="1" applyAlignment="1">
      <alignment horizontal="left" vertical="top"/>
    </xf>
    <xf numFmtId="0" fontId="5" fillId="0" borderId="11" xfId="0" applyFont="1" applyBorder="1" applyAlignment="1">
      <alignment horizontal="left" vertical="top"/>
    </xf>
    <xf numFmtId="0" fontId="5" fillId="2" borderId="0" xfId="0" applyFont="1" applyFill="1" applyBorder="1" applyAlignment="1">
      <alignment horizontal="right" vertical="top"/>
    </xf>
    <xf numFmtId="49" fontId="5" fillId="2" borderId="0" xfId="0" applyNumberFormat="1" applyFont="1" applyFill="1" applyBorder="1" applyAlignment="1">
      <alignment horizontal="left" vertical="top"/>
    </xf>
    <xf numFmtId="0" fontId="5" fillId="2" borderId="10" xfId="0" applyFont="1" applyFill="1" applyBorder="1" applyAlignment="1">
      <alignment horizontal="right" vertical="top"/>
    </xf>
    <xf numFmtId="49" fontId="5" fillId="2" borderId="10" xfId="0" applyNumberFormat="1" applyFont="1" applyFill="1" applyBorder="1" applyAlignment="1">
      <alignment horizontal="left" vertical="top"/>
    </xf>
    <xf numFmtId="0" fontId="5" fillId="2" borderId="13" xfId="0" applyFont="1" applyFill="1" applyBorder="1" applyAlignment="1">
      <alignment horizontal="right" vertical="top"/>
    </xf>
    <xf numFmtId="0" fontId="5" fillId="0" borderId="10" xfId="0" applyFont="1" applyBorder="1" applyAlignment="1">
      <alignment horizontal="right" vertical="center"/>
    </xf>
    <xf numFmtId="2" fontId="5" fillId="0" borderId="10" xfId="0" applyNumberFormat="1"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right" vertical="center"/>
    </xf>
    <xf numFmtId="2" fontId="5" fillId="0" borderId="0" xfId="0" applyNumberFormat="1" applyFont="1" applyAlignment="1">
      <alignment horizontal="left"/>
    </xf>
    <xf numFmtId="2" fontId="5" fillId="13" borderId="7" xfId="0" applyNumberFormat="1" applyFont="1" applyFill="1" applyBorder="1" applyAlignment="1">
      <alignment horizontal="left" vertical="center"/>
    </xf>
    <xf numFmtId="0" fontId="6" fillId="13" borderId="7" xfId="0" applyFont="1" applyFill="1" applyBorder="1" applyAlignment="1">
      <alignment vertical="top"/>
    </xf>
    <xf numFmtId="0" fontId="6" fillId="13" borderId="7" xfId="0" applyFont="1" applyFill="1" applyBorder="1"/>
    <xf numFmtId="2" fontId="5" fillId="2" borderId="11" xfId="0" applyNumberFormat="1" applyFont="1" applyFill="1" applyBorder="1" applyAlignment="1">
      <alignment horizontal="left" vertical="center"/>
    </xf>
    <xf numFmtId="2" fontId="5" fillId="2" borderId="4" xfId="0" applyNumberFormat="1" applyFont="1" applyFill="1" applyBorder="1" applyAlignment="1">
      <alignment horizontal="left" vertical="center"/>
    </xf>
    <xf numFmtId="2" fontId="5" fillId="2" borderId="11" xfId="0" applyNumberFormat="1" applyFont="1" applyFill="1" applyBorder="1" applyAlignment="1">
      <alignment horizontal="left" vertical="top"/>
    </xf>
    <xf numFmtId="164" fontId="5" fillId="2" borderId="4" xfId="0" applyNumberFormat="1" applyFont="1" applyFill="1" applyBorder="1" applyAlignment="1">
      <alignment horizontal="left" vertical="center"/>
    </xf>
    <xf numFmtId="2" fontId="5" fillId="2" borderId="14" xfId="0" applyNumberFormat="1" applyFont="1" applyFill="1" applyBorder="1" applyAlignment="1">
      <alignment horizontal="left"/>
    </xf>
    <xf numFmtId="0" fontId="1" fillId="5" borderId="3" xfId="0" applyFont="1" applyFill="1" applyBorder="1" applyAlignment="1">
      <alignment vertical="top" wrapText="1"/>
    </xf>
    <xf numFmtId="0" fontId="1" fillId="5" borderId="9" xfId="0" applyFont="1" applyFill="1" applyBorder="1" applyAlignment="1">
      <alignment horizontal="right" vertical="center"/>
    </xf>
    <xf numFmtId="2" fontId="1" fillId="5" borderId="12" xfId="0" applyNumberFormat="1" applyFont="1" applyFill="1" applyBorder="1" applyAlignment="1">
      <alignment horizontal="left" vertical="center"/>
    </xf>
    <xf numFmtId="0" fontId="1" fillId="5" borderId="3" xfId="0" applyFont="1" applyFill="1" applyBorder="1" applyAlignment="1">
      <alignment vertical="top"/>
    </xf>
    <xf numFmtId="49" fontId="5" fillId="2" borderId="7" xfId="0" applyNumberFormat="1" applyFont="1" applyFill="1" applyBorder="1" applyAlignment="1">
      <alignment horizontal="right" vertical="center" wrapText="1"/>
    </xf>
    <xf numFmtId="0" fontId="5" fillId="2" borderId="14" xfId="0" applyFont="1" applyFill="1" applyBorder="1" applyAlignment="1">
      <alignment horizontal="left" vertical="top"/>
    </xf>
    <xf numFmtId="164" fontId="5" fillId="2" borderId="11" xfId="0" applyNumberFormat="1" applyFont="1" applyFill="1" applyBorder="1" applyAlignment="1">
      <alignment horizontal="left"/>
    </xf>
    <xf numFmtId="0" fontId="1" fillId="0" borderId="0" xfId="0" applyFont="1" applyBorder="1" applyAlignment="1">
      <alignment horizontal="right" vertical="top"/>
    </xf>
    <xf numFmtId="0" fontId="1" fillId="0" borderId="8" xfId="0" applyFont="1" applyBorder="1" applyAlignment="1">
      <alignment vertical="top"/>
    </xf>
    <xf numFmtId="0" fontId="1" fillId="0" borderId="9" xfId="0" applyFont="1" applyBorder="1" applyAlignment="1">
      <alignment vertical="top"/>
    </xf>
    <xf numFmtId="0" fontId="5" fillId="2" borderId="15" xfId="0" applyFont="1" applyFill="1" applyBorder="1" applyAlignment="1">
      <alignment horizontal="right" vertical="center"/>
    </xf>
    <xf numFmtId="0" fontId="1" fillId="0" borderId="3" xfId="0" applyFont="1" applyBorder="1" applyAlignment="1">
      <alignment vertical="top" wrapText="1"/>
    </xf>
    <xf numFmtId="0" fontId="5" fillId="13" borderId="6" xfId="0" applyFont="1" applyFill="1" applyBorder="1" applyAlignment="1">
      <alignment horizontal="right" vertical="center"/>
    </xf>
    <xf numFmtId="0" fontId="1" fillId="13" borderId="7" xfId="0" applyFont="1" applyFill="1" applyBorder="1" applyAlignment="1">
      <alignment horizontal="right"/>
    </xf>
    <xf numFmtId="49" fontId="5" fillId="0" borderId="10" xfId="0" applyNumberFormat="1" applyFont="1" applyBorder="1" applyAlignment="1">
      <alignment horizontal="right" vertical="center"/>
    </xf>
    <xf numFmtId="0" fontId="5" fillId="13" borderId="9" xfId="0" applyFont="1" applyFill="1" applyBorder="1" applyAlignment="1">
      <alignment vertical="center"/>
    </xf>
    <xf numFmtId="0" fontId="1" fillId="13" borderId="10" xfId="0" applyFont="1" applyFill="1" applyBorder="1"/>
    <xf numFmtId="0" fontId="5" fillId="13" borderId="10" xfId="0" applyFont="1" applyFill="1" applyBorder="1" applyAlignment="1">
      <alignment horizontal="left"/>
    </xf>
    <xf numFmtId="0" fontId="5" fillId="13" borderId="10" xfId="0" applyFont="1" applyFill="1" applyBorder="1"/>
    <xf numFmtId="0" fontId="5" fillId="13" borderId="10" xfId="0" applyFont="1" applyFill="1" applyBorder="1" applyAlignment="1">
      <alignment horizontal="right"/>
    </xf>
    <xf numFmtId="0" fontId="1" fillId="5" borderId="1" xfId="0" applyFont="1" applyFill="1" applyBorder="1" applyAlignment="1" applyProtection="1">
      <alignment horizontal="center" vertical="top" wrapText="1"/>
      <protection locked="0"/>
    </xf>
    <xf numFmtId="0" fontId="2" fillId="5" borderId="1" xfId="0" applyFont="1" applyFill="1" applyBorder="1" applyAlignment="1" applyProtection="1">
      <alignment horizontal="center" vertical="top" wrapText="1"/>
      <protection locked="0"/>
    </xf>
    <xf numFmtId="0" fontId="1" fillId="0" borderId="1" xfId="0" applyFont="1" applyBorder="1" applyAlignment="1">
      <alignment horizontal="justify" vertical="top" wrapText="1"/>
    </xf>
    <xf numFmtId="0" fontId="5" fillId="0" borderId="1" xfId="0" applyFont="1" applyBorder="1" applyAlignment="1">
      <alignment horizontal="left" vertical="top" wrapText="1"/>
    </xf>
    <xf numFmtId="0" fontId="73" fillId="0" borderId="1" xfId="0" applyFont="1" applyBorder="1" applyAlignment="1">
      <alignment vertical="top" wrapText="1"/>
    </xf>
    <xf numFmtId="0" fontId="26" fillId="0" borderId="4" xfId="0" applyFont="1" applyBorder="1" applyAlignment="1">
      <alignment horizontal="center" vertical="top" wrapText="1"/>
    </xf>
    <xf numFmtId="0" fontId="1" fillId="0" borderId="5" xfId="0" applyFont="1" applyBorder="1" applyAlignment="1">
      <alignment horizontal="justify" vertical="top" wrapText="1"/>
    </xf>
    <xf numFmtId="0" fontId="1" fillId="5" borderId="2" xfId="0" applyFont="1" applyFill="1" applyBorder="1" applyAlignment="1">
      <alignment horizontal="justify" vertical="top" wrapText="1"/>
    </xf>
    <xf numFmtId="0" fontId="40" fillId="0" borderId="1" xfId="0" applyFont="1" applyBorder="1" applyAlignment="1">
      <alignment horizontal="left" vertical="top" wrapText="1"/>
    </xf>
    <xf numFmtId="2" fontId="40" fillId="0" borderId="1" xfId="0" applyNumberFormat="1" applyFont="1" applyFill="1" applyBorder="1" applyAlignment="1">
      <alignment horizontal="center" vertical="center"/>
    </xf>
    <xf numFmtId="0" fontId="40" fillId="0" borderId="1" xfId="0" applyFont="1" applyFill="1" applyBorder="1" applyAlignment="1">
      <alignment horizontal="left" vertical="top" wrapText="1"/>
    </xf>
    <xf numFmtId="2" fontId="40" fillId="0" borderId="0" xfId="0" applyNumberFormat="1" applyFont="1" applyAlignment="1">
      <alignment horizontal="center"/>
    </xf>
    <xf numFmtId="0" fontId="40" fillId="0" borderId="0" xfId="0" applyFont="1"/>
    <xf numFmtId="0" fontId="40" fillId="0" borderId="0" xfId="0" applyFont="1" applyAlignment="1">
      <alignment horizontal="center" vertical="center"/>
    </xf>
    <xf numFmtId="2" fontId="40" fillId="0" borderId="0" xfId="0" applyNumberFormat="1" applyFont="1" applyAlignment="1">
      <alignment horizontal="center" vertical="center"/>
    </xf>
    <xf numFmtId="0" fontId="1" fillId="2" borderId="1" xfId="3" applyFont="1" applyFill="1" applyBorder="1" applyAlignment="1">
      <alignment horizontal="center" vertical="center" wrapText="1"/>
    </xf>
    <xf numFmtId="0" fontId="37" fillId="2" borderId="1" xfId="0" applyFont="1" applyFill="1" applyBorder="1" applyAlignment="1">
      <alignment horizontal="center" vertical="center" wrapText="1"/>
    </xf>
    <xf numFmtId="2" fontId="1" fillId="2" borderId="1" xfId="3" applyNumberFormat="1" applyFont="1" applyFill="1" applyBorder="1" applyAlignment="1">
      <alignment horizontal="center" vertical="center" wrapText="1"/>
    </xf>
    <xf numFmtId="0" fontId="19" fillId="2" borderId="1" xfId="3" applyFont="1" applyFill="1" applyBorder="1" applyAlignment="1">
      <alignment horizontal="center" vertical="center" wrapText="1"/>
    </xf>
    <xf numFmtId="0" fontId="37" fillId="2" borderId="1" xfId="0" applyFont="1" applyFill="1" applyBorder="1" applyAlignment="1">
      <alignment horizontal="center" vertical="top" wrapText="1"/>
    </xf>
    <xf numFmtId="0" fontId="75" fillId="0" borderId="0" xfId="0" applyFont="1"/>
    <xf numFmtId="2" fontId="75" fillId="0" borderId="0" xfId="0" applyNumberFormat="1" applyFont="1" applyAlignment="1">
      <alignment horizontal="center"/>
    </xf>
    <xf numFmtId="2" fontId="1" fillId="0" borderId="1" xfId="0" applyNumberFormat="1" applyFont="1" applyBorder="1" applyAlignment="1">
      <alignment horizontal="center" vertical="top" wrapText="1"/>
    </xf>
    <xf numFmtId="0" fontId="73" fillId="0" borderId="1" xfId="0" applyFont="1" applyBorder="1" applyAlignment="1">
      <alignment horizontal="left" vertical="top" wrapText="1"/>
    </xf>
    <xf numFmtId="2" fontId="73" fillId="0" borderId="1" xfId="0" applyNumberFormat="1" applyFont="1" applyBorder="1" applyAlignment="1">
      <alignment horizontal="center" vertical="top" wrapText="1"/>
    </xf>
    <xf numFmtId="0" fontId="2" fillId="0" borderId="1" xfId="0" applyFont="1" applyFill="1" applyBorder="1" applyAlignment="1">
      <alignment horizontal="center" vertical="top" wrapText="1"/>
    </xf>
    <xf numFmtId="0" fontId="5" fillId="2" borderId="12" xfId="0" applyFont="1" applyFill="1" applyBorder="1" applyAlignment="1">
      <alignment horizontal="left" vertical="center"/>
    </xf>
    <xf numFmtId="2" fontId="1" fillId="0" borderId="0" xfId="0" applyNumberFormat="1" applyFont="1"/>
    <xf numFmtId="0" fontId="1" fillId="0" borderId="0" xfId="0" applyFont="1" applyAlignment="1">
      <alignment horizontal="center"/>
    </xf>
    <xf numFmtId="0" fontId="1" fillId="0" borderId="0" xfId="0" applyFont="1" applyAlignment="1">
      <alignment vertical="top"/>
    </xf>
    <xf numFmtId="0" fontId="1" fillId="0" borderId="7" xfId="0" applyFont="1" applyBorder="1"/>
    <xf numFmtId="0" fontId="1" fillId="0" borderId="0" xfId="0" applyFont="1" applyAlignment="1"/>
    <xf numFmtId="0" fontId="5" fillId="0" borderId="1" xfId="0" applyFont="1" applyFill="1" applyBorder="1" applyAlignment="1">
      <alignment vertical="top" wrapText="1"/>
    </xf>
    <xf numFmtId="0" fontId="25" fillId="0" borderId="1" xfId="0" applyFont="1" applyFill="1" applyBorder="1" applyAlignment="1">
      <alignment horizontal="center" vertical="top" wrapText="1"/>
    </xf>
    <xf numFmtId="0" fontId="24" fillId="0" borderId="1" xfId="0" applyFont="1" applyFill="1" applyBorder="1" applyAlignment="1">
      <alignment vertical="top" wrapText="1"/>
    </xf>
    <xf numFmtId="0" fontId="1" fillId="0" borderId="6" xfId="0" applyFont="1" applyFill="1" applyBorder="1" applyAlignment="1">
      <alignment vertical="top" wrapText="1"/>
    </xf>
    <xf numFmtId="0" fontId="1" fillId="0" borderId="4" xfId="0" applyFont="1" applyFill="1" applyBorder="1" applyAlignment="1">
      <alignment vertical="top" wrapText="1"/>
    </xf>
    <xf numFmtId="0" fontId="44" fillId="0" borderId="6" xfId="0" applyFont="1" applyFill="1" applyBorder="1" applyAlignment="1">
      <alignment vertical="top" wrapText="1"/>
    </xf>
    <xf numFmtId="0" fontId="1" fillId="0" borderId="1" xfId="0" applyFont="1" applyFill="1" applyBorder="1" applyAlignment="1">
      <alignment horizontal="center" vertical="top" wrapText="1"/>
    </xf>
    <xf numFmtId="0" fontId="12" fillId="0" borderId="7" xfId="0" applyFont="1" applyBorder="1" applyAlignment="1">
      <alignment horizontal="center"/>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pplyProtection="1">
      <alignment horizontal="center" vertical="top" wrapText="1"/>
      <protection locked="0"/>
    </xf>
    <xf numFmtId="0" fontId="5" fillId="0" borderId="1" xfId="0" applyFont="1" applyFill="1" applyBorder="1" applyAlignment="1">
      <alignment horizontal="justify" vertical="top" wrapText="1"/>
    </xf>
    <xf numFmtId="0" fontId="1" fillId="0" borderId="1" xfId="0" applyFont="1" applyFill="1" applyBorder="1" applyAlignment="1">
      <alignment horizontal="justify" vertical="top" wrapText="1"/>
    </xf>
    <xf numFmtId="0" fontId="1" fillId="0" borderId="1" xfId="0" applyFont="1" applyFill="1" applyBorder="1" applyAlignment="1" applyProtection="1">
      <alignment horizontal="center" vertical="top" wrapText="1"/>
      <protection locked="0"/>
    </xf>
    <xf numFmtId="0" fontId="2" fillId="0" borderId="1" xfId="0" applyFont="1" applyFill="1" applyBorder="1" applyAlignment="1">
      <alignment horizontal="justify" vertical="top" wrapText="1"/>
    </xf>
    <xf numFmtId="0" fontId="7" fillId="0" borderId="1" xfId="0" applyFont="1" applyFill="1" applyBorder="1" applyAlignment="1">
      <alignment vertical="top" wrapText="1"/>
    </xf>
    <xf numFmtId="0" fontId="7" fillId="0" borderId="1" xfId="0" applyFont="1" applyFill="1" applyBorder="1" applyAlignment="1">
      <alignment horizontal="justify" vertical="top" wrapText="1"/>
    </xf>
    <xf numFmtId="0" fontId="2" fillId="0" borderId="1" xfId="0" applyFont="1" applyFill="1" applyBorder="1" applyAlignment="1" applyProtection="1">
      <alignment horizontal="center" vertical="top" wrapText="1"/>
      <protection locked="0"/>
    </xf>
    <xf numFmtId="0" fontId="3" fillId="0" borderId="1" xfId="0" applyFont="1" applyFill="1" applyBorder="1" applyAlignment="1">
      <alignment horizontal="center" vertical="top" wrapText="1"/>
    </xf>
    <xf numFmtId="2" fontId="26" fillId="5" borderId="1" xfId="0" applyNumberFormat="1" applyFont="1" applyFill="1" applyBorder="1" applyAlignment="1">
      <alignment vertical="top" wrapText="1"/>
    </xf>
    <xf numFmtId="0" fontId="26" fillId="0" borderId="1" xfId="0" applyNumberFormat="1" applyFont="1" applyBorder="1" applyAlignment="1">
      <alignment vertical="top" wrapText="1"/>
    </xf>
    <xf numFmtId="0" fontId="26" fillId="5" borderId="1" xfId="0" applyNumberFormat="1" applyFont="1" applyFill="1" applyBorder="1" applyAlignment="1">
      <alignment vertical="top" wrapText="1"/>
    </xf>
    <xf numFmtId="0" fontId="26" fillId="0" borderId="1" xfId="0" applyNumberFormat="1" applyFont="1" applyBorder="1" applyAlignment="1">
      <alignment horizontal="right" vertical="top" wrapText="1"/>
    </xf>
    <xf numFmtId="0" fontId="24" fillId="10" borderId="1" xfId="0" applyNumberFormat="1" applyFont="1" applyFill="1" applyBorder="1" applyAlignment="1">
      <alignment vertical="top" wrapText="1"/>
    </xf>
    <xf numFmtId="0" fontId="76" fillId="6" borderId="1" xfId="0" applyFont="1" applyFill="1" applyBorder="1" applyAlignment="1">
      <alignment horizontal="center" vertical="top" wrapText="1"/>
    </xf>
    <xf numFmtId="0" fontId="8" fillId="0" borderId="1" xfId="0" applyFont="1" applyBorder="1" applyAlignment="1">
      <alignment horizontal="center" vertical="top" wrapText="1"/>
    </xf>
    <xf numFmtId="0" fontId="1" fillId="0" borderId="0" xfId="0" applyFont="1" applyAlignment="1">
      <alignment wrapText="1"/>
    </xf>
    <xf numFmtId="0" fontId="1" fillId="0" borderId="1" xfId="0" applyFont="1" applyBorder="1" applyAlignment="1">
      <alignment horizontal="justify" wrapText="1"/>
    </xf>
    <xf numFmtId="0" fontId="1" fillId="0" borderId="1" xfId="0" applyFont="1" applyBorder="1" applyAlignment="1">
      <alignment horizontal="justify"/>
    </xf>
    <xf numFmtId="0" fontId="5" fillId="0" borderId="6" xfId="0" applyFont="1" applyBorder="1" applyAlignment="1">
      <alignment horizontal="center" vertical="top" wrapText="1"/>
    </xf>
    <xf numFmtId="0" fontId="5" fillId="0" borderId="4" xfId="0" applyFont="1" applyBorder="1" applyAlignment="1">
      <alignment horizontal="center" vertical="top" wrapText="1"/>
    </xf>
    <xf numFmtId="0" fontId="3" fillId="3" borderId="1" xfId="0" applyFont="1" applyFill="1" applyBorder="1" applyAlignment="1">
      <alignment horizontal="center" vertical="top" wrapText="1"/>
    </xf>
    <xf numFmtId="0" fontId="1" fillId="0" borderId="1" xfId="0" applyFont="1" applyBorder="1"/>
    <xf numFmtId="0" fontId="5" fillId="5" borderId="6" xfId="0" applyFont="1" applyFill="1" applyBorder="1" applyAlignment="1">
      <alignment horizontal="center" vertical="top" wrapText="1"/>
    </xf>
    <xf numFmtId="0" fontId="7" fillId="5" borderId="4" xfId="0" applyFont="1" applyFill="1" applyBorder="1" applyAlignment="1">
      <alignment horizontal="center" vertical="top" wrapText="1"/>
    </xf>
    <xf numFmtId="0" fontId="44" fillId="0" borderId="0" xfId="0" applyFont="1" applyAlignment="1">
      <alignment wrapText="1"/>
    </xf>
    <xf numFmtId="165" fontId="1" fillId="6" borderId="1" xfId="0" applyNumberFormat="1" applyFont="1" applyFill="1" applyBorder="1" applyAlignment="1">
      <alignment horizontal="center" vertical="top" wrapText="1"/>
    </xf>
    <xf numFmtId="165" fontId="2" fillId="6" borderId="1" xfId="0" applyNumberFormat="1" applyFont="1" applyFill="1" applyBorder="1" applyAlignment="1">
      <alignment horizontal="center" vertical="top" wrapText="1"/>
    </xf>
    <xf numFmtId="0" fontId="77" fillId="14" borderId="1" xfId="0" applyFont="1" applyFill="1" applyBorder="1" applyAlignment="1">
      <alignment vertical="top" wrapText="1"/>
    </xf>
    <xf numFmtId="0" fontId="73" fillId="14" borderId="1" xfId="0" applyFont="1" applyFill="1" applyBorder="1" applyAlignment="1">
      <alignment vertical="top" wrapText="1"/>
    </xf>
    <xf numFmtId="0" fontId="77" fillId="14" borderId="1" xfId="0" applyFont="1" applyFill="1" applyBorder="1" applyAlignment="1">
      <alignment horizontal="justify" vertical="top" wrapText="1"/>
    </xf>
    <xf numFmtId="0" fontId="77" fillId="2" borderId="1" xfId="0" applyFont="1" applyFill="1" applyBorder="1" applyAlignment="1">
      <alignment horizontal="justify" vertical="top" wrapText="1"/>
    </xf>
    <xf numFmtId="0" fontId="77" fillId="2" borderId="1" xfId="0" applyFont="1" applyFill="1" applyBorder="1" applyAlignment="1">
      <alignment horizontal="center" vertical="top" wrapText="1"/>
    </xf>
    <xf numFmtId="0" fontId="73" fillId="2" borderId="1" xfId="0" applyFont="1" applyFill="1" applyBorder="1" applyAlignment="1">
      <alignment horizontal="justify" vertical="top" wrapText="1"/>
    </xf>
    <xf numFmtId="0" fontId="47" fillId="4" borderId="1" xfId="0" applyFont="1" applyFill="1" applyBorder="1" applyAlignment="1">
      <alignment vertical="top" wrapText="1"/>
    </xf>
    <xf numFmtId="0" fontId="2" fillId="5" borderId="1" xfId="0" applyFont="1" applyFill="1" applyBorder="1" applyAlignment="1">
      <alignment vertical="top" wrapText="1"/>
    </xf>
    <xf numFmtId="0" fontId="5" fillId="0" borderId="1" xfId="0" applyFont="1" applyBorder="1" applyAlignment="1">
      <alignment horizontal="center" vertical="center"/>
    </xf>
    <xf numFmtId="0" fontId="73" fillId="0" borderId="1" xfId="0" applyFont="1" applyBorder="1" applyAlignment="1">
      <alignment horizontal="center" vertical="top" wrapText="1"/>
    </xf>
    <xf numFmtId="0" fontId="77" fillId="2" borderId="1" xfId="0" applyFont="1" applyFill="1" applyBorder="1" applyAlignment="1">
      <alignment vertical="top" wrapText="1"/>
    </xf>
    <xf numFmtId="0" fontId="78" fillId="2" borderId="1" xfId="0" applyFont="1" applyFill="1" applyBorder="1" applyAlignment="1">
      <alignment vertical="top" wrapText="1"/>
    </xf>
    <xf numFmtId="0" fontId="73" fillId="0" borderId="1" xfId="0" applyFont="1" applyBorder="1" applyAlignment="1">
      <alignment horizontal="left" vertical="top" wrapText="1" indent="1"/>
    </xf>
    <xf numFmtId="0" fontId="73" fillId="0" borderId="5" xfId="0" applyFont="1" applyBorder="1" applyAlignment="1">
      <alignment vertical="top" wrapText="1"/>
    </xf>
    <xf numFmtId="0" fontId="1" fillId="0" borderId="1" xfId="0" applyFont="1" applyBorder="1" applyAlignment="1">
      <alignment vertical="center" wrapText="1"/>
    </xf>
    <xf numFmtId="0" fontId="0" fillId="0" borderId="0" xfId="0" applyAlignment="1">
      <alignment wrapText="1"/>
    </xf>
    <xf numFmtId="0" fontId="49" fillId="0" borderId="2" xfId="0" applyFont="1" applyBorder="1" applyAlignment="1">
      <alignment horizontal="center" vertical="center" wrapText="1"/>
    </xf>
    <xf numFmtId="0" fontId="5" fillId="0" borderId="1" xfId="0" applyFont="1" applyBorder="1" applyAlignment="1">
      <alignment horizontal="center" vertical="center" wrapText="1"/>
    </xf>
    <xf numFmtId="0" fontId="84" fillId="0" borderId="18" xfId="0" applyFont="1" applyBorder="1" applyAlignment="1">
      <alignment horizontal="center" vertical="top" wrapText="1"/>
    </xf>
    <xf numFmtId="0" fontId="84" fillId="0" borderId="19" xfId="0" applyFont="1" applyBorder="1" applyAlignment="1">
      <alignment horizontal="center" vertical="top" wrapText="1"/>
    </xf>
    <xf numFmtId="0" fontId="84" fillId="5" borderId="19" xfId="0" applyFont="1" applyFill="1" applyBorder="1" applyAlignment="1">
      <alignment horizontal="center" vertical="top" wrapText="1"/>
    </xf>
    <xf numFmtId="0" fontId="73" fillId="4" borderId="1" xfId="0" applyFont="1" applyFill="1" applyBorder="1" applyAlignment="1">
      <alignment vertical="top" wrapText="1"/>
    </xf>
    <xf numFmtId="0" fontId="82" fillId="4" borderId="1" xfId="0" applyFont="1" applyFill="1" applyBorder="1" applyAlignment="1">
      <alignment wrapText="1"/>
    </xf>
    <xf numFmtId="0" fontId="82" fillId="5" borderId="1" xfId="0" applyFont="1" applyFill="1" applyBorder="1" applyAlignment="1">
      <alignment horizontal="center" wrapText="1"/>
    </xf>
    <xf numFmtId="0" fontId="82" fillId="0" borderId="1" xfId="0" applyFont="1" applyBorder="1" applyAlignment="1">
      <alignment horizontal="center" wrapText="1"/>
    </xf>
    <xf numFmtId="0" fontId="73" fillId="4" borderId="1" xfId="0" applyFont="1" applyFill="1" applyBorder="1" applyAlignment="1">
      <alignment horizontal="left" wrapText="1" indent="1"/>
    </xf>
    <xf numFmtId="0" fontId="1" fillId="4" borderId="1" xfId="0" applyFont="1" applyFill="1" applyBorder="1" applyAlignment="1">
      <alignment horizontal="left" vertical="top" wrapText="1" indent="1"/>
    </xf>
    <xf numFmtId="0" fontId="82" fillId="0" borderId="1" xfId="0" applyFont="1" applyBorder="1" applyAlignment="1">
      <alignment horizontal="left" wrapText="1"/>
    </xf>
    <xf numFmtId="0" fontId="73" fillId="4" borderId="1" xfId="0" applyFont="1" applyFill="1" applyBorder="1" applyAlignment="1">
      <alignment horizontal="left" vertical="top" wrapText="1" indent="1"/>
    </xf>
    <xf numFmtId="0" fontId="1" fillId="0" borderId="1" xfId="0" applyFont="1" applyBorder="1" applyAlignment="1">
      <alignment horizontal="left" vertical="top" wrapText="1" indent="1"/>
    </xf>
    <xf numFmtId="0" fontId="73" fillId="0" borderId="5" xfId="0" applyFont="1" applyBorder="1" applyAlignment="1">
      <alignment horizontal="left" vertical="top" wrapText="1" indent="1"/>
    </xf>
    <xf numFmtId="0" fontId="73" fillId="0" borderId="3" xfId="0" applyFont="1" applyFill="1" applyBorder="1" applyAlignment="1">
      <alignment horizontal="left" vertical="top" wrapText="1" indent="1"/>
    </xf>
    <xf numFmtId="0" fontId="1" fillId="0" borderId="2" xfId="0" applyFont="1" applyBorder="1" applyAlignment="1">
      <alignment horizontal="left" vertical="top" wrapText="1" indent="1"/>
    </xf>
    <xf numFmtId="0" fontId="73" fillId="4" borderId="5" xfId="0" applyFont="1" applyFill="1" applyBorder="1" applyAlignment="1">
      <alignment horizontal="left" vertical="top" wrapText="1" indent="1"/>
    </xf>
    <xf numFmtId="0" fontId="70" fillId="0" borderId="1" xfId="0" applyFont="1" applyBorder="1" applyAlignment="1">
      <alignment horizontal="left"/>
    </xf>
    <xf numFmtId="0" fontId="0" fillId="0" borderId="5" xfId="0" applyBorder="1" applyAlignment="1">
      <alignment vertical="top"/>
    </xf>
    <xf numFmtId="0" fontId="0" fillId="0" borderId="5" xfId="0" applyBorder="1" applyAlignment="1">
      <alignment horizontal="left" vertical="justify"/>
    </xf>
    <xf numFmtId="0" fontId="70" fillId="0" borderId="5" xfId="0" applyFont="1" applyBorder="1" applyAlignment="1">
      <alignment horizontal="left"/>
    </xf>
    <xf numFmtId="0" fontId="70" fillId="0" borderId="1" xfId="0" applyFont="1" applyBorder="1" applyAlignment="1"/>
    <xf numFmtId="0" fontId="70" fillId="0" borderId="1" xfId="0" applyFont="1" applyBorder="1" applyAlignment="1">
      <alignment horizontal="center"/>
    </xf>
    <xf numFmtId="0" fontId="70" fillId="0" borderId="1" xfId="0" applyFont="1" applyBorder="1"/>
    <xf numFmtId="0" fontId="50" fillId="0" borderId="1" xfId="0" applyFont="1" applyBorder="1" applyAlignment="1">
      <alignment horizontal="center" vertical="center"/>
    </xf>
    <xf numFmtId="0" fontId="50" fillId="5" borderId="1" xfId="0" applyFont="1" applyFill="1" applyBorder="1" applyAlignment="1">
      <alignment horizontal="center" vertical="center" wrapText="1"/>
    </xf>
    <xf numFmtId="0" fontId="50" fillId="0" borderId="1" xfId="0" applyFont="1" applyBorder="1" applyAlignment="1">
      <alignment horizontal="center" vertical="center" wrapText="1"/>
    </xf>
    <xf numFmtId="0" fontId="23" fillId="0" borderId="0" xfId="0" applyFont="1"/>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2"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top" wrapText="1"/>
    </xf>
    <xf numFmtId="2" fontId="5" fillId="2" borderId="1" xfId="0" applyNumberFormat="1"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0" fontId="1" fillId="4" borderId="1" xfId="0" applyFont="1" applyFill="1" applyBorder="1" applyAlignment="1">
      <alignment horizontal="left" vertical="top" wrapText="1"/>
    </xf>
    <xf numFmtId="2" fontId="35" fillId="14" borderId="1" xfId="0" applyNumberFormat="1" applyFont="1" applyFill="1" applyBorder="1" applyAlignment="1">
      <alignment horizontal="center" vertical="top" wrapText="1"/>
    </xf>
    <xf numFmtId="0" fontId="1" fillId="0" borderId="20" xfId="0" applyFont="1" applyBorder="1" applyAlignment="1">
      <alignment vertical="top" wrapText="1"/>
    </xf>
    <xf numFmtId="0" fontId="70" fillId="0" borderId="0" xfId="0" applyFont="1" applyAlignment="1">
      <alignment vertical="top" wrapText="1"/>
    </xf>
    <xf numFmtId="0" fontId="73" fillId="4" borderId="1" xfId="0" applyFont="1" applyFill="1" applyBorder="1" applyAlignment="1">
      <alignment horizontal="justify" vertical="top" wrapText="1"/>
    </xf>
    <xf numFmtId="0" fontId="73" fillId="4" borderId="1" xfId="0" applyFont="1" applyFill="1" applyBorder="1"/>
    <xf numFmtId="0" fontId="73" fillId="0" borderId="1" xfId="0" applyFont="1" applyFill="1" applyBorder="1" applyAlignment="1">
      <alignment vertical="top" wrapText="1"/>
    </xf>
    <xf numFmtId="2" fontId="85" fillId="3" borderId="1" xfId="0" applyNumberFormat="1" applyFont="1" applyFill="1" applyBorder="1" applyAlignment="1">
      <alignment horizontal="center" vertical="top" wrapText="1"/>
    </xf>
    <xf numFmtId="2" fontId="85" fillId="4" borderId="1" xfId="0" applyNumberFormat="1" applyFont="1" applyFill="1" applyBorder="1" applyAlignment="1">
      <alignment horizontal="center" vertical="top" wrapText="1"/>
    </xf>
    <xf numFmtId="0" fontId="3"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2" fontId="2" fillId="3" borderId="1" xfId="0" applyNumberFormat="1" applyFont="1" applyFill="1" applyBorder="1" applyAlignment="1">
      <alignment horizontal="center" vertical="top" wrapText="1"/>
    </xf>
    <xf numFmtId="0" fontId="21" fillId="0" borderId="0" xfId="0" applyFont="1" applyAlignment="1">
      <alignment horizontal="center" vertical="top" wrapText="1"/>
    </xf>
    <xf numFmtId="0" fontId="7" fillId="5" borderId="5" xfId="0" applyFont="1" applyFill="1" applyBorder="1" applyAlignment="1">
      <alignment horizontal="center" vertical="top" wrapText="1"/>
    </xf>
    <xf numFmtId="0" fontId="2" fillId="5" borderId="5" xfId="0" applyFont="1" applyFill="1" applyBorder="1" applyAlignment="1">
      <alignment horizontal="justify" vertical="top" wrapText="1"/>
    </xf>
    <xf numFmtId="0" fontId="86" fillId="0" borderId="1" xfId="0" applyFont="1" applyBorder="1" applyAlignment="1">
      <alignment horizontal="center" vertical="top" wrapText="1"/>
    </xf>
    <xf numFmtId="0" fontId="7" fillId="5" borderId="2" xfId="0" applyFont="1" applyFill="1" applyBorder="1" applyAlignment="1">
      <alignment horizontal="center" vertical="top" wrapText="1"/>
    </xf>
    <xf numFmtId="0" fontId="2" fillId="5" borderId="2" xfId="0" applyFont="1" applyFill="1" applyBorder="1" applyAlignment="1">
      <alignment horizontal="justify" vertical="top" wrapText="1"/>
    </xf>
    <xf numFmtId="0" fontId="2" fillId="5" borderId="2" xfId="0" applyFont="1" applyFill="1" applyBorder="1" applyAlignment="1">
      <alignment horizontal="center" vertical="top" wrapText="1"/>
    </xf>
    <xf numFmtId="0" fontId="7" fillId="5" borderId="3" xfId="0" applyFont="1" applyFill="1" applyBorder="1" applyAlignment="1">
      <alignment horizontal="center" vertical="top" wrapText="1"/>
    </xf>
    <xf numFmtId="0" fontId="2" fillId="5" borderId="3" xfId="0" applyFont="1" applyFill="1" applyBorder="1" applyAlignment="1">
      <alignment horizontal="justify" vertical="top" wrapText="1"/>
    </xf>
    <xf numFmtId="0" fontId="2" fillId="5" borderId="3" xfId="0" applyFont="1" applyFill="1" applyBorder="1" applyAlignment="1">
      <alignment horizontal="center" vertical="top" wrapText="1"/>
    </xf>
    <xf numFmtId="0" fontId="7" fillId="0" borderId="6" xfId="0" applyFont="1" applyBorder="1" applyAlignment="1">
      <alignment horizontal="center" vertical="top" wrapText="1"/>
    </xf>
    <xf numFmtId="0" fontId="73" fillId="0" borderId="0" xfId="0" applyFont="1" applyAlignment="1">
      <alignment vertical="top" wrapText="1"/>
    </xf>
    <xf numFmtId="0" fontId="2" fillId="10" borderId="1" xfId="0" applyFont="1" applyFill="1" applyBorder="1" applyAlignment="1">
      <alignment horizontal="justify" vertical="top" wrapText="1"/>
    </xf>
    <xf numFmtId="0" fontId="2" fillId="10" borderId="1" xfId="0" applyFont="1" applyFill="1" applyBorder="1" applyAlignment="1">
      <alignment horizontal="center" vertical="top" wrapText="1"/>
    </xf>
    <xf numFmtId="0" fontId="0" fillId="0" borderId="0" xfId="0" applyAlignment="1">
      <alignment vertical="center" wrapText="1"/>
    </xf>
    <xf numFmtId="0" fontId="49" fillId="2" borderId="1" xfId="0" applyFont="1" applyFill="1" applyBorder="1" applyAlignment="1">
      <alignment horizontal="center" vertical="top" wrapText="1"/>
    </xf>
    <xf numFmtId="2" fontId="35" fillId="3" borderId="1" xfId="0" applyNumberFormat="1"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0" fontId="49" fillId="2" borderId="1" xfId="0" applyFont="1" applyFill="1" applyBorder="1" applyAlignment="1">
      <alignment horizontal="left" vertical="top" wrapText="1"/>
    </xf>
    <xf numFmtId="0" fontId="1" fillId="2" borderId="1" xfId="0" applyFont="1" applyFill="1" applyBorder="1" applyAlignment="1">
      <alignment horizontal="center" vertical="center" wrapText="1"/>
    </xf>
    <xf numFmtId="2" fontId="35" fillId="14" borderId="1" xfId="0" applyNumberFormat="1" applyFont="1" applyFill="1" applyBorder="1" applyAlignment="1">
      <alignment horizontal="center" vertical="center" wrapText="1"/>
    </xf>
    <xf numFmtId="0" fontId="1" fillId="4" borderId="1" xfId="0" applyFont="1" applyFill="1" applyBorder="1" applyAlignment="1">
      <alignment vertical="center"/>
    </xf>
    <xf numFmtId="2" fontId="35" fillId="4"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top" wrapText="1"/>
    </xf>
    <xf numFmtId="0" fontId="52" fillId="2" borderId="1" xfId="0" applyFont="1" applyFill="1" applyBorder="1" applyAlignment="1">
      <alignment horizontal="left" vertical="top" wrapText="1"/>
    </xf>
    <xf numFmtId="2" fontId="1" fillId="2" borderId="1" xfId="0" applyNumberFormat="1" applyFont="1" applyFill="1" applyBorder="1" applyAlignment="1">
      <alignment horizontal="center"/>
    </xf>
    <xf numFmtId="2" fontId="37" fillId="2" borderId="7" xfId="0" applyNumberFormat="1" applyFont="1" applyFill="1" applyBorder="1" applyAlignment="1">
      <alignment vertical="center" wrapText="1"/>
    </xf>
    <xf numFmtId="0" fontId="0" fillId="0" borderId="1" xfId="0" applyBorder="1" applyAlignment="1">
      <alignment horizontal="center" vertical="top"/>
    </xf>
    <xf numFmtId="0" fontId="73" fillId="6" borderId="1" xfId="0" applyFont="1" applyFill="1" applyBorder="1" applyAlignment="1">
      <alignment horizontal="left" vertical="top" wrapText="1"/>
    </xf>
    <xf numFmtId="2" fontId="73" fillId="6" borderId="1" xfId="0" applyNumberFormat="1" applyFont="1" applyFill="1" applyBorder="1" applyAlignment="1">
      <alignment horizontal="center" vertical="top" wrapText="1"/>
    </xf>
    <xf numFmtId="0" fontId="73" fillId="6" borderId="1" xfId="0" applyFont="1" applyFill="1" applyBorder="1" applyAlignment="1">
      <alignment horizontal="center"/>
    </xf>
    <xf numFmtId="0" fontId="73" fillId="6" borderId="1" xfId="0" applyFont="1" applyFill="1" applyBorder="1" applyAlignment="1">
      <alignment horizontal="left"/>
    </xf>
    <xf numFmtId="2" fontId="73" fillId="6" borderId="1" xfId="0" applyNumberFormat="1" applyFont="1" applyFill="1" applyBorder="1" applyAlignment="1">
      <alignment horizontal="center"/>
    </xf>
    <xf numFmtId="0" fontId="0" fillId="12" borderId="1" xfId="0" applyFill="1" applyBorder="1"/>
    <xf numFmtId="0" fontId="87" fillId="12" borderId="1" xfId="0" applyFont="1" applyFill="1" applyBorder="1" applyAlignment="1">
      <alignment horizontal="center"/>
    </xf>
    <xf numFmtId="0" fontId="75" fillId="12" borderId="1" xfId="0" applyFont="1" applyFill="1" applyBorder="1"/>
    <xf numFmtId="0" fontId="0" fillId="0" borderId="0" xfId="0" applyAlignment="1">
      <alignment horizontal="left"/>
    </xf>
    <xf numFmtId="0" fontId="88" fillId="0" borderId="1" xfId="0" applyFont="1" applyBorder="1" applyAlignment="1">
      <alignment horizontal="center" vertical="center" wrapText="1"/>
    </xf>
    <xf numFmtId="2" fontId="88" fillId="0" borderId="1" xfId="0" applyNumberFormat="1" applyFont="1" applyBorder="1" applyAlignment="1">
      <alignment horizontal="center" vertical="top" wrapText="1"/>
    </xf>
    <xf numFmtId="0" fontId="88" fillId="0" borderId="1" xfId="0" applyFont="1" applyBorder="1" applyAlignment="1">
      <alignment horizontal="left" vertical="top" wrapText="1"/>
    </xf>
    <xf numFmtId="0" fontId="88" fillId="5" borderId="1" xfId="0" applyFont="1" applyFill="1" applyBorder="1" applyAlignment="1">
      <alignment horizontal="center" vertical="top" wrapText="1"/>
    </xf>
    <xf numFmtId="0" fontId="88" fillId="5" borderId="1" xfId="0" applyFont="1" applyFill="1" applyBorder="1" applyAlignment="1">
      <alignment horizontal="center" vertical="center" textRotation="90" wrapText="1"/>
    </xf>
    <xf numFmtId="0" fontId="88" fillId="5" borderId="1" xfId="0" applyFont="1" applyFill="1" applyBorder="1" applyAlignment="1">
      <alignment horizontal="left" vertical="top" wrapText="1"/>
    </xf>
    <xf numFmtId="2" fontId="88" fillId="5" borderId="1" xfId="0" applyNumberFormat="1" applyFont="1" applyFill="1" applyBorder="1" applyAlignment="1">
      <alignment horizontal="center" vertical="top" wrapText="1"/>
    </xf>
    <xf numFmtId="2" fontId="53" fillId="0" borderId="0" xfId="0" applyNumberFormat="1" applyFont="1"/>
    <xf numFmtId="2" fontId="0" fillId="2" borderId="1" xfId="0" applyNumberFormat="1" applyFill="1" applyBorder="1" applyAlignment="1">
      <alignment vertical="center"/>
    </xf>
    <xf numFmtId="0" fontId="40" fillId="0" borderId="1" xfId="0" applyFont="1" applyFill="1" applyBorder="1" applyAlignment="1">
      <alignment horizontal="center" vertical="top" wrapText="1"/>
    </xf>
    <xf numFmtId="2" fontId="40" fillId="0" borderId="1" xfId="0" applyNumberFormat="1" applyFont="1" applyFill="1" applyBorder="1" applyAlignment="1">
      <alignment horizontal="center" vertical="top" wrapText="1"/>
    </xf>
    <xf numFmtId="0" fontId="40" fillId="4" borderId="1" xfId="0" applyFont="1" applyFill="1" applyBorder="1" applyAlignment="1">
      <alignment vertical="top" wrapText="1"/>
    </xf>
    <xf numFmtId="49" fontId="40" fillId="0" borderId="1" xfId="0" applyNumberFormat="1" applyFont="1" applyFill="1" applyBorder="1" applyAlignment="1">
      <alignment horizontal="left" vertical="top" wrapText="1"/>
    </xf>
    <xf numFmtId="0" fontId="40" fillId="0" borderId="0" xfId="0" applyFont="1" applyFill="1" applyAlignment="1">
      <alignment horizontal="justify"/>
    </xf>
    <xf numFmtId="0" fontId="40" fillId="0" borderId="1" xfId="0" applyFont="1" applyFill="1" applyBorder="1" applyAlignment="1">
      <alignment horizontal="justify"/>
    </xf>
    <xf numFmtId="0" fontId="40" fillId="0" borderId="0" xfId="0" applyFont="1" applyFill="1" applyAlignment="1">
      <alignment vertical="top" wrapText="1"/>
    </xf>
    <xf numFmtId="0" fontId="40" fillId="0" borderId="1" xfId="0" applyFont="1" applyFill="1" applyBorder="1" applyAlignment="1">
      <alignment horizontal="justify" vertical="top" wrapText="1"/>
    </xf>
    <xf numFmtId="2" fontId="54" fillId="0" borderId="1" xfId="0" applyNumberFormat="1" applyFont="1" applyFill="1" applyBorder="1" applyAlignment="1">
      <alignment horizontal="center" wrapText="1"/>
    </xf>
    <xf numFmtId="0" fontId="54" fillId="0" borderId="1" xfId="0" applyFont="1" applyFill="1" applyBorder="1" applyAlignment="1">
      <alignment horizontal="center" vertical="top" wrapText="1"/>
    </xf>
    <xf numFmtId="2" fontId="40" fillId="0" borderId="1" xfId="0" applyNumberFormat="1" applyFont="1" applyFill="1" applyBorder="1" applyAlignment="1">
      <alignment horizontal="center" wrapText="1"/>
    </xf>
    <xf numFmtId="0" fontId="40" fillId="0" borderId="1" xfId="0" applyFont="1" applyFill="1" applyBorder="1" applyAlignment="1">
      <alignment vertical="top" wrapText="1"/>
    </xf>
    <xf numFmtId="2" fontId="54" fillId="0" borderId="1" xfId="0" applyNumberFormat="1" applyFont="1" applyFill="1" applyBorder="1" applyAlignment="1">
      <alignment horizontal="center" vertical="top" wrapText="1"/>
    </xf>
    <xf numFmtId="0" fontId="54" fillId="0" borderId="1" xfId="0" applyFont="1" applyFill="1" applyBorder="1" applyAlignment="1">
      <alignment horizontal="center"/>
    </xf>
    <xf numFmtId="2" fontId="54" fillId="0" borderId="1" xfId="0" applyNumberFormat="1" applyFont="1" applyFill="1" applyBorder="1" applyAlignment="1">
      <alignment horizontal="center"/>
    </xf>
    <xf numFmtId="0" fontId="53" fillId="0" borderId="0" xfId="0" applyFont="1"/>
    <xf numFmtId="2" fontId="37" fillId="2" borderId="1" xfId="0" applyNumberFormat="1" applyFont="1" applyFill="1" applyBorder="1" applyAlignment="1">
      <alignment horizontal="center" vertical="center" wrapText="1"/>
    </xf>
    <xf numFmtId="2" fontId="40" fillId="0" borderId="1" xfId="0" applyNumberFormat="1" applyFont="1" applyFill="1" applyBorder="1" applyAlignment="1">
      <alignment horizontal="center" vertical="top"/>
    </xf>
    <xf numFmtId="2" fontId="54" fillId="0" borderId="1" xfId="0" applyNumberFormat="1" applyFont="1" applyFill="1" applyBorder="1" applyAlignment="1">
      <alignment horizontal="center" vertical="top"/>
    </xf>
    <xf numFmtId="0" fontId="40" fillId="5" borderId="1" xfId="0" applyFont="1" applyFill="1" applyBorder="1" applyAlignment="1">
      <alignment horizontal="justify" vertical="top" wrapText="1"/>
    </xf>
    <xf numFmtId="0" fontId="19" fillId="0" borderId="6" xfId="0" applyFont="1" applyFill="1" applyBorder="1" applyAlignment="1">
      <alignment vertical="top" wrapText="1"/>
    </xf>
    <xf numFmtId="0" fontId="40" fillId="0" borderId="0" xfId="0" applyFont="1" applyFill="1" applyAlignment="1">
      <alignment wrapText="1"/>
    </xf>
    <xf numFmtId="2" fontId="40" fillId="0" borderId="1" xfId="0" applyNumberFormat="1" applyFont="1" applyFill="1" applyBorder="1" applyAlignment="1">
      <alignment horizontal="center"/>
    </xf>
    <xf numFmtId="2" fontId="80" fillId="0" borderId="1" xfId="0" applyNumberFormat="1" applyFont="1" applyFill="1" applyBorder="1" applyAlignment="1">
      <alignment horizontal="center" vertical="center"/>
    </xf>
    <xf numFmtId="2" fontId="0" fillId="2" borderId="1" xfId="0" applyNumberFormat="1" applyFill="1" applyBorder="1" applyAlignment="1">
      <alignment vertical="top"/>
    </xf>
    <xf numFmtId="0" fontId="19" fillId="2" borderId="1" xfId="3" applyFont="1" applyFill="1" applyBorder="1" applyAlignment="1">
      <alignment horizontal="center" vertical="top" wrapText="1"/>
    </xf>
    <xf numFmtId="0" fontId="1" fillId="2" borderId="1" xfId="3" applyFont="1" applyFill="1" applyBorder="1" applyAlignment="1">
      <alignment horizontal="center" vertical="top" wrapText="1"/>
    </xf>
    <xf numFmtId="0" fontId="37" fillId="0" borderId="1" xfId="0" applyFont="1" applyFill="1" applyBorder="1" applyAlignment="1">
      <alignment horizontal="center" vertical="top" wrapText="1"/>
    </xf>
    <xf numFmtId="0" fontId="36" fillId="0" borderId="1" xfId="0" applyFont="1" applyFill="1" applyBorder="1" applyAlignment="1">
      <alignment horizontal="center" vertical="top" wrapText="1"/>
    </xf>
    <xf numFmtId="0" fontId="40" fillId="0" borderId="2" xfId="0" applyFont="1" applyFill="1" applyBorder="1" applyAlignment="1">
      <alignment horizontal="left" vertical="top" wrapText="1"/>
    </xf>
    <xf numFmtId="0" fontId="37" fillId="0" borderId="1" xfId="0" applyFont="1" applyFill="1" applyBorder="1" applyAlignment="1">
      <alignment vertical="top" wrapText="1"/>
    </xf>
    <xf numFmtId="0" fontId="40" fillId="0" borderId="0" xfId="0" applyFont="1" applyFill="1" applyAlignment="1">
      <alignment horizontal="left" vertical="top" wrapText="1"/>
    </xf>
    <xf numFmtId="0" fontId="40" fillId="0" borderId="5" xfId="0" applyFont="1" applyFill="1" applyBorder="1" applyAlignment="1">
      <alignment horizontal="left" vertical="top" wrapText="1"/>
    </xf>
    <xf numFmtId="0" fontId="19" fillId="0" borderId="1" xfId="0" applyFont="1" applyFill="1" applyBorder="1" applyAlignment="1">
      <alignment horizontal="justify" vertical="top" wrapText="1"/>
    </xf>
    <xf numFmtId="0" fontId="19" fillId="0" borderId="1" xfId="0" applyFont="1" applyFill="1" applyBorder="1" applyAlignment="1">
      <alignment horizontal="left" vertical="top" wrapText="1"/>
    </xf>
    <xf numFmtId="2" fontId="37" fillId="0" borderId="1" xfId="0" applyNumberFormat="1" applyFont="1" applyFill="1" applyBorder="1" applyAlignment="1">
      <alignment horizontal="center"/>
    </xf>
    <xf numFmtId="0" fontId="37" fillId="0" borderId="5" xfId="0" applyFont="1" applyFill="1" applyBorder="1" applyAlignment="1">
      <alignment horizontal="center" vertical="top" wrapText="1"/>
    </xf>
    <xf numFmtId="0" fontId="89" fillId="0" borderId="5" xfId="0" applyFont="1" applyFill="1" applyBorder="1" applyAlignment="1">
      <alignment horizontal="left" vertical="top" wrapText="1"/>
    </xf>
    <xf numFmtId="0" fontId="56" fillId="0" borderId="21" xfId="0" applyFont="1" applyBorder="1" applyAlignment="1">
      <alignment vertical="top" wrapText="1"/>
    </xf>
    <xf numFmtId="0" fontId="56" fillId="0" borderId="22" xfId="0" applyFont="1" applyBorder="1" applyAlignment="1">
      <alignment vertical="top" wrapText="1"/>
    </xf>
    <xf numFmtId="0" fontId="40" fillId="0" borderId="5" xfId="0" applyFont="1" applyBorder="1" applyAlignment="1">
      <alignment horizontal="center" vertical="top" wrapText="1"/>
    </xf>
    <xf numFmtId="0" fontId="40" fillId="0" borderId="5" xfId="0" applyFont="1" applyBorder="1" applyAlignment="1">
      <alignment horizontal="left" vertical="top" wrapText="1"/>
    </xf>
    <xf numFmtId="2" fontId="40" fillId="0" borderId="5" xfId="0" applyNumberFormat="1" applyFont="1" applyBorder="1" applyAlignment="1">
      <alignment vertical="center" wrapText="1"/>
    </xf>
    <xf numFmtId="2" fontId="40" fillId="0" borderId="5" xfId="0" applyNumberFormat="1" applyFont="1" applyBorder="1" applyAlignment="1">
      <alignment horizontal="center" vertical="top" wrapText="1"/>
    </xf>
    <xf numFmtId="0" fontId="2" fillId="0" borderId="21" xfId="0" applyFont="1" applyBorder="1" applyAlignment="1">
      <alignment vertical="top" wrapText="1"/>
    </xf>
    <xf numFmtId="0" fontId="2" fillId="0" borderId="23" xfId="0" applyFont="1" applyBorder="1" applyAlignment="1">
      <alignment vertical="top" wrapText="1"/>
    </xf>
    <xf numFmtId="2" fontId="54" fillId="0" borderId="1" xfId="0" applyNumberFormat="1" applyFont="1" applyFill="1" applyBorder="1" applyAlignment="1">
      <alignment horizontal="center" vertical="center"/>
    </xf>
    <xf numFmtId="0" fontId="2" fillId="0" borderId="22" xfId="0" applyFont="1" applyBorder="1" applyAlignment="1">
      <alignment vertical="top" wrapText="1"/>
    </xf>
    <xf numFmtId="0" fontId="57" fillId="0" borderId="24" xfId="0" applyFont="1" applyBorder="1" applyAlignment="1">
      <alignment wrapText="1"/>
    </xf>
    <xf numFmtId="0" fontId="2" fillId="0" borderId="25" xfId="0" applyFont="1" applyBorder="1" applyAlignment="1">
      <alignment vertical="top" wrapText="1"/>
    </xf>
    <xf numFmtId="0" fontId="2" fillId="0" borderId="4" xfId="0" applyFont="1" applyBorder="1" applyAlignment="1">
      <alignment vertical="top" wrapText="1"/>
    </xf>
    <xf numFmtId="0" fontId="40" fillId="0" borderId="1" xfId="0" applyNumberFormat="1" applyFont="1" applyBorder="1" applyAlignment="1">
      <alignment horizontal="left" vertical="top" wrapText="1"/>
    </xf>
    <xf numFmtId="0" fontId="40" fillId="0" borderId="0" xfId="0" applyFont="1" applyAlignment="1">
      <alignment vertical="top" wrapText="1"/>
    </xf>
    <xf numFmtId="0" fontId="57" fillId="0" borderId="0" xfId="0" applyFont="1" applyBorder="1" applyAlignment="1">
      <alignment wrapText="1"/>
    </xf>
    <xf numFmtId="0" fontId="40" fillId="0" borderId="1" xfId="0" applyFont="1" applyBorder="1" applyAlignment="1">
      <alignment horizontal="left" wrapText="1"/>
    </xf>
    <xf numFmtId="0" fontId="40" fillId="0" borderId="0" xfId="0" applyFont="1" applyAlignment="1">
      <alignment horizontal="justify" vertical="top"/>
    </xf>
    <xf numFmtId="2" fontId="40" fillId="0" borderId="1" xfId="0" applyNumberFormat="1" applyFont="1" applyFill="1" applyBorder="1" applyAlignment="1">
      <alignment horizontal="center" vertical="center" wrapText="1"/>
    </xf>
    <xf numFmtId="0" fontId="54" fillId="0" borderId="0" xfId="0" applyFont="1" applyAlignment="1">
      <alignment wrapText="1"/>
    </xf>
    <xf numFmtId="2" fontId="41" fillId="0" borderId="0" xfId="0" applyNumberFormat="1" applyFont="1" applyAlignment="1">
      <alignment horizontal="center"/>
    </xf>
    <xf numFmtId="0" fontId="41" fillId="0" borderId="0" xfId="0" applyFont="1"/>
    <xf numFmtId="0" fontId="41" fillId="0" borderId="0" xfId="0" applyFont="1" applyAlignment="1">
      <alignment horizontal="center" vertical="center"/>
    </xf>
    <xf numFmtId="2" fontId="41" fillId="0" borderId="0" xfId="0" applyNumberFormat="1" applyFont="1" applyAlignment="1">
      <alignment horizontal="center" vertical="center"/>
    </xf>
    <xf numFmtId="0" fontId="90" fillId="12" borderId="7" xfId="0" applyFont="1" applyFill="1" applyBorder="1" applyAlignment="1">
      <alignment horizontal="center" vertical="center"/>
    </xf>
    <xf numFmtId="0" fontId="83" fillId="6" borderId="1" xfId="0" applyFont="1" applyFill="1" applyBorder="1" applyAlignment="1">
      <alignment horizontal="center" vertical="top" wrapText="1"/>
    </xf>
    <xf numFmtId="0" fontId="88" fillId="0" borderId="1" xfId="0" applyFont="1" applyBorder="1" applyAlignment="1">
      <alignment horizontal="center" vertical="top" wrapText="1"/>
    </xf>
    <xf numFmtId="0" fontId="82" fillId="0" borderId="1" xfId="0" applyFont="1" applyBorder="1" applyAlignment="1">
      <alignment vertical="top" wrapText="1"/>
    </xf>
    <xf numFmtId="0" fontId="0" fillId="0" borderId="1" xfId="0" applyBorder="1"/>
    <xf numFmtId="0" fontId="72" fillId="0" borderId="1" xfId="0" applyFont="1" applyBorder="1" applyAlignment="1">
      <alignment vertical="top" wrapText="1"/>
    </xf>
    <xf numFmtId="0" fontId="72" fillId="0" borderId="1" xfId="0" applyFont="1" applyBorder="1" applyAlignment="1">
      <alignment horizontal="center" vertical="top"/>
    </xf>
    <xf numFmtId="0" fontId="1" fillId="0" borderId="3" xfId="0" applyFont="1" applyFill="1" applyBorder="1" applyAlignment="1">
      <alignment vertical="top" wrapText="1"/>
    </xf>
    <xf numFmtId="2" fontId="88" fillId="5" borderId="1" xfId="0" applyNumberFormat="1" applyFont="1" applyFill="1" applyBorder="1" applyAlignment="1">
      <alignment horizontal="center" vertical="center" wrapText="1"/>
    </xf>
    <xf numFmtId="0" fontId="0" fillId="5" borderId="0" xfId="0" applyFill="1"/>
    <xf numFmtId="0" fontId="91" fillId="5" borderId="1" xfId="0" applyFont="1" applyFill="1" applyBorder="1" applyAlignment="1">
      <alignment horizontal="center"/>
    </xf>
    <xf numFmtId="0" fontId="91" fillId="5" borderId="1" xfId="0" applyFont="1" applyFill="1" applyBorder="1" applyAlignment="1">
      <alignment horizontal="center" vertical="center"/>
    </xf>
    <xf numFmtId="2" fontId="91" fillId="5" borderId="1" xfId="0" applyNumberFormat="1" applyFont="1" applyFill="1" applyBorder="1" applyAlignment="1">
      <alignment horizontal="center"/>
    </xf>
    <xf numFmtId="0" fontId="87" fillId="0" borderId="0" xfId="0" applyFont="1" applyAlignment="1">
      <alignment horizontal="center"/>
    </xf>
    <xf numFmtId="0" fontId="91" fillId="0" borderId="0" xfId="0" applyFont="1" applyAlignment="1">
      <alignment horizontal="center"/>
    </xf>
    <xf numFmtId="0" fontId="91" fillId="0" borderId="0" xfId="0" applyFont="1" applyAlignment="1">
      <alignment horizontal="center" vertical="center"/>
    </xf>
    <xf numFmtId="0" fontId="91" fillId="0" borderId="0" xfId="0" applyFont="1"/>
    <xf numFmtId="2" fontId="91" fillId="0" borderId="0" xfId="0" applyNumberFormat="1" applyFont="1"/>
    <xf numFmtId="0" fontId="83" fillId="6" borderId="1" xfId="0" applyFont="1" applyFill="1" applyBorder="1" applyAlignment="1">
      <alignment vertical="top" wrapText="1"/>
    </xf>
    <xf numFmtId="0" fontId="83" fillId="6" borderId="2" xfId="0" applyFont="1" applyFill="1" applyBorder="1" applyAlignment="1">
      <alignment horizontal="center" vertical="center" wrapText="1"/>
    </xf>
    <xf numFmtId="2" fontId="92" fillId="12" borderId="5" xfId="0" applyNumberFormat="1" applyFont="1" applyFill="1" applyBorder="1" applyAlignment="1">
      <alignment horizontal="center" vertical="center" wrapText="1"/>
    </xf>
    <xf numFmtId="0" fontId="93" fillId="4" borderId="1" xfId="0" applyFont="1" applyFill="1" applyBorder="1" applyAlignment="1">
      <alignment horizontal="center" vertical="top" wrapText="1"/>
    </xf>
    <xf numFmtId="0" fontId="60" fillId="0" borderId="1" xfId="0" applyFont="1" applyBorder="1" applyAlignment="1">
      <alignment horizontal="left" vertical="top" wrapText="1"/>
    </xf>
    <xf numFmtId="0" fontId="61" fillId="4" borderId="1" xfId="0" applyFont="1" applyFill="1" applyBorder="1" applyAlignment="1">
      <alignment horizontal="center" vertical="top" wrapText="1"/>
    </xf>
    <xf numFmtId="0" fontId="93" fillId="12" borderId="1" xfId="0" applyFont="1" applyFill="1" applyBorder="1" applyAlignment="1">
      <alignment horizontal="center" vertical="top" wrapText="1"/>
    </xf>
    <xf numFmtId="0" fontId="60" fillId="0" borderId="1" xfId="0" applyFont="1" applyBorder="1" applyAlignment="1">
      <alignment vertical="top" wrapText="1"/>
    </xf>
    <xf numFmtId="0" fontId="60" fillId="12" borderId="1" xfId="0" applyFont="1" applyFill="1" applyBorder="1" applyAlignment="1">
      <alignment vertical="top" wrapText="1"/>
    </xf>
    <xf numFmtId="2" fontId="93" fillId="12" borderId="1" xfId="0" applyNumberFormat="1" applyFont="1" applyFill="1" applyBorder="1" applyAlignment="1">
      <alignment horizontal="center" vertical="center" wrapText="1"/>
    </xf>
    <xf numFmtId="0" fontId="93" fillId="0" borderId="1" xfId="0" applyFont="1" applyBorder="1" applyAlignment="1">
      <alignment vertical="top" wrapText="1"/>
    </xf>
    <xf numFmtId="0" fontId="61" fillId="0" borderId="1" xfId="0" applyFont="1" applyBorder="1" applyAlignment="1">
      <alignment vertical="top" wrapText="1"/>
    </xf>
    <xf numFmtId="0" fontId="61" fillId="12" borderId="1" xfId="0" applyFont="1" applyFill="1" applyBorder="1" applyAlignment="1">
      <alignment vertical="top" wrapText="1"/>
    </xf>
    <xf numFmtId="0" fontId="94" fillId="12" borderId="11" xfId="0" applyFont="1" applyFill="1" applyBorder="1" applyAlignment="1">
      <alignment horizontal="center" vertical="center" wrapText="1"/>
    </xf>
    <xf numFmtId="2" fontId="81" fillId="12" borderId="1" xfId="0" applyNumberFormat="1" applyFont="1" applyFill="1" applyBorder="1" applyAlignment="1">
      <alignment horizontal="center" vertical="center" wrapText="1"/>
    </xf>
    <xf numFmtId="0" fontId="81" fillId="12" borderId="1" xfId="0" applyFont="1" applyFill="1" applyBorder="1" applyAlignment="1">
      <alignment horizontal="center" vertical="center" wrapText="1"/>
    </xf>
    <xf numFmtId="2" fontId="75" fillId="12" borderId="1" xfId="0" applyNumberFormat="1" applyFont="1" applyFill="1" applyBorder="1" applyAlignment="1">
      <alignment horizontal="center" vertical="center" wrapText="1"/>
    </xf>
    <xf numFmtId="0" fontId="81" fillId="4" borderId="1" xfId="0" applyFont="1" applyFill="1" applyBorder="1" applyAlignment="1">
      <alignment horizontal="center" vertical="center" wrapText="1"/>
    </xf>
    <xf numFmtId="0" fontId="38" fillId="0" borderId="1" xfId="0" applyFont="1" applyBorder="1" applyAlignment="1">
      <alignment horizontal="left" vertical="top" wrapText="1"/>
    </xf>
    <xf numFmtId="2" fontId="87" fillId="12" borderId="1" xfId="0" applyNumberFormat="1" applyFont="1" applyFill="1" applyBorder="1" applyAlignment="1">
      <alignment horizontal="center" vertical="center"/>
    </xf>
    <xf numFmtId="2" fontId="87" fillId="0" borderId="1" xfId="0" applyNumberFormat="1" applyFont="1" applyBorder="1" applyAlignment="1">
      <alignment horizontal="center" vertical="center"/>
    </xf>
    <xf numFmtId="0" fontId="75" fillId="0" borderId="1" xfId="0" applyFont="1" applyBorder="1" applyAlignment="1">
      <alignment horizontal="left" vertical="top" wrapText="1"/>
    </xf>
    <xf numFmtId="0" fontId="75" fillId="12" borderId="1" xfId="0" applyFont="1" applyFill="1" applyBorder="1" applyAlignment="1">
      <alignment horizontal="left" vertical="top" wrapText="1"/>
    </xf>
    <xf numFmtId="2" fontId="81" fillId="12" borderId="5" xfId="0" applyNumberFormat="1" applyFont="1" applyFill="1" applyBorder="1" applyAlignment="1">
      <alignment horizontal="center" vertical="center" wrapText="1"/>
    </xf>
    <xf numFmtId="0" fontId="38" fillId="12" borderId="1" xfId="0" applyFont="1" applyFill="1" applyBorder="1" applyAlignment="1">
      <alignment horizontal="left" vertical="top" wrapText="1"/>
    </xf>
    <xf numFmtId="0" fontId="94" fillId="12" borderId="1" xfId="0" applyFont="1" applyFill="1" applyBorder="1" applyAlignment="1">
      <alignment horizontal="center" vertical="center" wrapText="1"/>
    </xf>
    <xf numFmtId="0" fontId="94" fillId="12" borderId="1" xfId="0" applyFont="1" applyFill="1" applyBorder="1" applyAlignment="1">
      <alignment horizontal="center" vertical="center"/>
    </xf>
    <xf numFmtId="2" fontId="94" fillId="12" borderId="1" xfId="0" applyNumberFormat="1" applyFont="1" applyFill="1" applyBorder="1" applyAlignment="1">
      <alignment horizontal="center" vertical="center"/>
    </xf>
    <xf numFmtId="0" fontId="0" fillId="4" borderId="0" xfId="0" applyFill="1"/>
    <xf numFmtId="0" fontId="81" fillId="12" borderId="1" xfId="0" applyFont="1" applyFill="1" applyBorder="1" applyAlignment="1">
      <alignment vertical="top" wrapText="1"/>
    </xf>
    <xf numFmtId="0" fontId="75" fillId="12" borderId="1" xfId="0" applyFont="1" applyFill="1" applyBorder="1" applyAlignment="1">
      <alignment horizontal="center" vertical="top" wrapText="1"/>
    </xf>
    <xf numFmtId="2" fontId="75" fillId="12" borderId="1" xfId="0" applyNumberFormat="1" applyFont="1" applyFill="1" applyBorder="1" applyAlignment="1">
      <alignment horizontal="center" vertical="top" wrapText="1"/>
    </xf>
    <xf numFmtId="0" fontId="81" fillId="4" borderId="1" xfId="0" applyFont="1" applyFill="1" applyBorder="1" applyAlignment="1">
      <alignment horizontal="center" vertical="top" wrapText="1"/>
    </xf>
    <xf numFmtId="2" fontId="38" fillId="12" borderId="1" xfId="0" applyNumberFormat="1" applyFont="1" applyFill="1" applyBorder="1" applyAlignment="1">
      <alignment horizontal="center" vertical="top" wrapText="1"/>
    </xf>
    <xf numFmtId="2" fontId="38" fillId="0" borderId="1" xfId="0" applyNumberFormat="1" applyFont="1" applyBorder="1" applyAlignment="1">
      <alignment horizontal="center" vertical="top" wrapText="1"/>
    </xf>
    <xf numFmtId="2" fontId="75" fillId="0" borderId="1" xfId="0" applyNumberFormat="1" applyFont="1" applyBorder="1" applyAlignment="1">
      <alignment horizontal="center" vertical="top" wrapText="1"/>
    </xf>
    <xf numFmtId="0" fontId="75" fillId="0" borderId="1" xfId="0" applyFont="1" applyBorder="1" applyAlignment="1">
      <alignment horizontal="left" wrapText="1"/>
    </xf>
    <xf numFmtId="2" fontId="75" fillId="12" borderId="1" xfId="0" applyNumberFormat="1" applyFont="1" applyFill="1" applyBorder="1" applyAlignment="1">
      <alignment horizontal="center" wrapText="1"/>
    </xf>
    <xf numFmtId="2" fontId="75" fillId="0" borderId="1" xfId="0" applyNumberFormat="1" applyFont="1" applyBorder="1" applyAlignment="1">
      <alignment horizontal="center" wrapText="1"/>
    </xf>
    <xf numFmtId="0" fontId="81" fillId="12" borderId="1" xfId="0" applyFont="1" applyFill="1" applyBorder="1" applyAlignment="1">
      <alignment horizontal="center" vertical="top" wrapText="1"/>
    </xf>
    <xf numFmtId="0" fontId="75" fillId="12" borderId="1" xfId="0" applyFont="1" applyFill="1" applyBorder="1" applyAlignment="1">
      <alignment horizontal="left" wrapText="1"/>
    </xf>
    <xf numFmtId="0" fontId="38" fillId="0" borderId="1" xfId="0" applyFont="1" applyBorder="1" applyAlignment="1">
      <alignment vertical="top" wrapText="1"/>
    </xf>
    <xf numFmtId="0" fontId="38" fillId="12" borderId="1" xfId="0" applyFont="1" applyFill="1" applyBorder="1" applyAlignment="1">
      <alignment vertical="top" wrapText="1"/>
    </xf>
    <xf numFmtId="0" fontId="75" fillId="0" borderId="1" xfId="0" applyFont="1" applyBorder="1" applyAlignment="1">
      <alignment vertical="top" wrapText="1"/>
    </xf>
    <xf numFmtId="2" fontId="87" fillId="12" borderId="1" xfId="0" applyNumberFormat="1" applyFont="1" applyFill="1" applyBorder="1" applyAlignment="1">
      <alignment horizontal="center"/>
    </xf>
    <xf numFmtId="2" fontId="75" fillId="12" borderId="1" xfId="0" applyNumberFormat="1" applyFont="1" applyFill="1" applyBorder="1" applyAlignment="1">
      <alignment horizontal="center"/>
    </xf>
    <xf numFmtId="2" fontId="87" fillId="0" borderId="0" xfId="0" applyNumberFormat="1" applyFont="1" applyAlignment="1">
      <alignment horizontal="center"/>
    </xf>
    <xf numFmtId="0" fontId="50"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165" fontId="1" fillId="0" borderId="1" xfId="0" applyNumberFormat="1" applyFont="1" applyBorder="1" applyAlignment="1">
      <alignment horizontal="center" vertical="top" wrapText="1"/>
    </xf>
    <xf numFmtId="0" fontId="2" fillId="0" borderId="0" xfId="0" applyFont="1" applyFill="1" applyAlignment="1">
      <alignment horizontal="justify" vertical="top"/>
    </xf>
    <xf numFmtId="0" fontId="2" fillId="0" borderId="1" xfId="0" applyFont="1" applyFill="1" applyBorder="1" applyAlignment="1">
      <alignment horizontal="justify" vertical="top"/>
    </xf>
    <xf numFmtId="0" fontId="1" fillId="0" borderId="0" xfId="0" applyFont="1" applyAlignment="1">
      <alignment horizontal="center" vertical="center"/>
    </xf>
    <xf numFmtId="0" fontId="1" fillId="0" borderId="7" xfId="0" applyFont="1" applyBorder="1" applyAlignment="1">
      <alignment horizontal="left" wrapText="1"/>
    </xf>
    <xf numFmtId="0" fontId="2" fillId="0" borderId="1" xfId="0" applyFont="1" applyFill="1" applyBorder="1" applyAlignment="1">
      <alignment horizontal="left" vertical="top" wrapText="1"/>
    </xf>
    <xf numFmtId="0" fontId="2" fillId="0" borderId="0" xfId="0" applyFont="1" applyFill="1" applyAlignment="1">
      <alignment vertical="top" wrapText="1"/>
    </xf>
    <xf numFmtId="0" fontId="37" fillId="0" borderId="0" xfId="0" applyFont="1" applyFill="1" applyAlignment="1">
      <alignment vertical="top" wrapText="1"/>
    </xf>
    <xf numFmtId="0" fontId="35" fillId="4" borderId="1" xfId="0" applyFont="1" applyFill="1" applyBorder="1" applyAlignment="1">
      <alignment vertical="top" wrapText="1"/>
    </xf>
    <xf numFmtId="0" fontId="35" fillId="0" borderId="1" xfId="0" applyFont="1" applyFill="1" applyBorder="1" applyAlignment="1">
      <alignment vertical="top" wrapText="1"/>
    </xf>
    <xf numFmtId="2" fontId="0" fillId="0" borderId="1" xfId="0" applyNumberFormat="1" applyBorder="1"/>
    <xf numFmtId="0" fontId="37" fillId="0" borderId="1" xfId="0" applyFont="1" applyBorder="1" applyAlignment="1">
      <alignment vertical="top" wrapText="1"/>
    </xf>
    <xf numFmtId="0" fontId="37" fillId="0" borderId="0" xfId="0" applyFont="1" applyAlignment="1">
      <alignment wrapText="1"/>
    </xf>
    <xf numFmtId="0" fontId="37" fillId="0" borderId="1" xfId="0" applyFont="1" applyBorder="1" applyAlignment="1">
      <alignment wrapText="1"/>
    </xf>
    <xf numFmtId="0" fontId="37" fillId="0" borderId="1" xfId="0" applyFont="1" applyFill="1" applyBorder="1" applyAlignment="1">
      <alignment wrapText="1"/>
    </xf>
    <xf numFmtId="0" fontId="37" fillId="0" borderId="0" xfId="0" applyFont="1" applyFill="1" applyAlignment="1">
      <alignment wrapText="1"/>
    </xf>
    <xf numFmtId="2" fontId="37" fillId="0" borderId="0" xfId="0" applyNumberFormat="1" applyFont="1" applyAlignment="1">
      <alignment wrapText="1"/>
    </xf>
    <xf numFmtId="0" fontId="37" fillId="0" borderId="6" xfId="0" applyFont="1" applyFill="1" applyBorder="1" applyAlignment="1">
      <alignment vertical="top" wrapText="1"/>
    </xf>
    <xf numFmtId="0" fontId="37" fillId="0" borderId="5" xfId="0" applyFont="1" applyFill="1" applyBorder="1" applyAlignment="1">
      <alignment horizontal="justify" vertical="top" wrapText="1"/>
    </xf>
    <xf numFmtId="0" fontId="37" fillId="0" borderId="6" xfId="0" applyFont="1" applyFill="1" applyBorder="1" applyAlignment="1">
      <alignment horizontal="center" vertical="top" wrapText="1"/>
    </xf>
    <xf numFmtId="0" fontId="37" fillId="4" borderId="6" xfId="0" applyFont="1" applyFill="1" applyBorder="1" applyAlignment="1">
      <alignment vertical="top" wrapText="1"/>
    </xf>
    <xf numFmtId="0" fontId="35" fillId="4" borderId="6" xfId="0" applyFont="1" applyFill="1" applyBorder="1" applyAlignment="1">
      <alignment vertical="top" wrapText="1"/>
    </xf>
    <xf numFmtId="0" fontId="35" fillId="0" borderId="1" xfId="0" applyFont="1" applyBorder="1" applyAlignment="1">
      <alignment horizontal="left" vertical="top" wrapText="1"/>
    </xf>
    <xf numFmtId="0" fontId="39" fillId="0" borderId="1" xfId="0" applyFont="1" applyFill="1" applyBorder="1" applyAlignment="1">
      <alignment horizontal="center"/>
    </xf>
    <xf numFmtId="2" fontId="36" fillId="0" borderId="1" xfId="0" applyNumberFormat="1" applyFont="1" applyFill="1" applyBorder="1" applyAlignment="1">
      <alignment horizontal="center" vertical="top" wrapText="1"/>
    </xf>
    <xf numFmtId="2" fontId="62" fillId="0" borderId="1" xfId="0" applyNumberFormat="1" applyFont="1" applyFill="1" applyBorder="1" applyAlignment="1">
      <alignment horizontal="center"/>
    </xf>
    <xf numFmtId="0" fontId="40" fillId="0" borderId="1" xfId="0" applyFont="1" applyFill="1" applyBorder="1" applyAlignment="1">
      <alignment horizontal="center"/>
    </xf>
    <xf numFmtId="2" fontId="95" fillId="0" borderId="1" xfId="0" applyNumberFormat="1" applyFont="1" applyFill="1" applyBorder="1" applyAlignment="1">
      <alignment horizontal="center" vertical="center"/>
    </xf>
    <xf numFmtId="2" fontId="37" fillId="2" borderId="7" xfId="0" applyNumberFormat="1" applyFont="1" applyFill="1" applyBorder="1" applyAlignment="1">
      <alignment vertical="top" wrapText="1"/>
    </xf>
    <xf numFmtId="2" fontId="37" fillId="2" borderId="4" xfId="0" applyNumberFormat="1"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horizontal="center" vertical="center"/>
    </xf>
    <xf numFmtId="2" fontId="5" fillId="9" borderId="1" xfId="0" applyNumberFormat="1" applyFont="1" applyFill="1" applyBorder="1" applyAlignment="1">
      <alignment horizontal="center" vertical="top" wrapText="1"/>
    </xf>
    <xf numFmtId="0" fontId="1" fillId="0" borderId="7" xfId="0" applyFont="1" applyBorder="1" applyAlignment="1">
      <alignment wrapText="1"/>
    </xf>
    <xf numFmtId="0" fontId="1" fillId="0" borderId="1" xfId="0" applyFont="1" applyBorder="1" applyAlignment="1">
      <alignment horizontal="right" vertical="center"/>
    </xf>
    <xf numFmtId="0" fontId="1" fillId="0" borderId="1" xfId="0" applyFont="1" applyBorder="1" applyAlignment="1">
      <alignment horizontal="left" vertical="center"/>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166" fontId="1" fillId="0" borderId="0" xfId="0" applyNumberFormat="1" applyFont="1"/>
    <xf numFmtId="0" fontId="1" fillId="0" borderId="5" xfId="0" applyFont="1" applyBorder="1" applyAlignment="1">
      <alignment vertical="center" wrapText="1"/>
    </xf>
    <xf numFmtId="0" fontId="1" fillId="0" borderId="1" xfId="0" applyFont="1" applyBorder="1" applyAlignment="1">
      <alignment vertical="center"/>
    </xf>
    <xf numFmtId="0" fontId="5" fillId="0" borderId="0" xfId="0" applyFont="1" applyBorder="1" applyAlignment="1">
      <alignment horizontal="center" vertical="center" wrapText="1"/>
    </xf>
    <xf numFmtId="0" fontId="1" fillId="0" borderId="9" xfId="0" applyFont="1" applyBorder="1" applyAlignment="1">
      <alignment horizontal="right" vertical="center" wrapText="1"/>
    </xf>
    <xf numFmtId="2" fontId="1" fillId="0" borderId="10" xfId="0" applyNumberFormat="1" applyFont="1" applyBorder="1" applyAlignment="1">
      <alignment horizontal="left" vertical="center" wrapText="1"/>
    </xf>
    <xf numFmtId="0" fontId="1" fillId="0" borderId="10" xfId="0" applyFont="1" applyBorder="1" applyAlignment="1">
      <alignment horizontal="right" vertical="center" wrapText="1"/>
    </xf>
    <xf numFmtId="0" fontId="1" fillId="0" borderId="7" xfId="0" applyFont="1" applyBorder="1" applyAlignment="1">
      <alignment horizontal="left" vertical="center" wrapText="1"/>
    </xf>
    <xf numFmtId="0" fontId="5" fillId="0" borderId="8" xfId="0" applyFont="1" applyBorder="1" applyAlignment="1">
      <alignment vertical="center" wrapText="1"/>
    </xf>
    <xf numFmtId="0" fontId="5" fillId="0" borderId="11" xfId="0" applyFont="1" applyBorder="1" applyAlignment="1">
      <alignment vertical="center" wrapText="1"/>
    </xf>
    <xf numFmtId="2" fontId="1" fillId="0" borderId="12" xfId="0" applyNumberFormat="1" applyFont="1" applyBorder="1" applyAlignment="1">
      <alignment horizontal="left" vertical="center" wrapText="1"/>
    </xf>
    <xf numFmtId="0" fontId="1" fillId="0" borderId="7" xfId="0" applyFont="1" applyFill="1" applyBorder="1" applyAlignment="1">
      <alignment horizontal="left" vertical="center" wrapText="1"/>
    </xf>
    <xf numFmtId="0" fontId="1" fillId="0" borderId="1" xfId="0" applyFont="1" applyFill="1" applyBorder="1" applyAlignment="1">
      <alignment horizontal="right" vertical="center"/>
    </xf>
    <xf numFmtId="0" fontId="5" fillId="6" borderId="1" xfId="0" applyFont="1" applyFill="1" applyBorder="1" applyAlignment="1">
      <alignment horizontal="center" vertical="center"/>
    </xf>
    <xf numFmtId="0" fontId="5" fillId="6" borderId="1" xfId="0" applyFont="1" applyFill="1" applyBorder="1" applyAlignment="1">
      <alignment vertical="center"/>
    </xf>
    <xf numFmtId="0" fontId="1" fillId="6" borderId="1" xfId="0" applyFont="1" applyFill="1" applyBorder="1" applyAlignment="1">
      <alignment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left" vertical="center" wrapText="1"/>
    </xf>
    <xf numFmtId="2" fontId="1" fillId="6" borderId="1" xfId="0" applyNumberFormat="1" applyFont="1" applyFill="1" applyBorder="1" applyAlignment="1">
      <alignment horizontal="center" vertical="center"/>
    </xf>
    <xf numFmtId="0" fontId="1" fillId="6" borderId="1" xfId="0" applyFont="1" applyFill="1" applyBorder="1"/>
    <xf numFmtId="2" fontId="1" fillId="6" borderId="1" xfId="0" applyNumberFormat="1" applyFont="1" applyFill="1" applyBorder="1" applyAlignment="1">
      <alignment horizontal="center" vertical="top" wrapText="1"/>
    </xf>
    <xf numFmtId="0" fontId="5" fillId="0" borderId="1" xfId="0" applyFont="1" applyBorder="1"/>
    <xf numFmtId="2" fontId="2" fillId="2" borderId="1"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73" fillId="0" borderId="1" xfId="0" applyFont="1" applyBorder="1"/>
    <xf numFmtId="0" fontId="54" fillId="4" borderId="1" xfId="0" applyFont="1" applyFill="1" applyBorder="1" applyAlignment="1">
      <alignment horizontal="center" vertical="center" wrapText="1"/>
    </xf>
    <xf numFmtId="0" fontId="54"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36" fillId="4" borderId="1" xfId="0" applyFont="1" applyFill="1" applyBorder="1" applyAlignment="1">
      <alignment horizontal="center" vertical="center" wrapText="1"/>
    </xf>
    <xf numFmtId="0" fontId="5" fillId="4" borderId="1" xfId="3" applyFont="1" applyFill="1" applyBorder="1" applyAlignment="1">
      <alignment horizontal="center" vertical="center" wrapText="1"/>
    </xf>
    <xf numFmtId="0" fontId="17" fillId="4" borderId="1" xfId="3" applyFont="1" applyFill="1" applyBorder="1" applyAlignment="1">
      <alignment horizontal="center" vertical="center" wrapText="1"/>
    </xf>
    <xf numFmtId="0" fontId="40" fillId="4" borderId="1" xfId="0" applyFont="1" applyFill="1" applyBorder="1" applyAlignment="1">
      <alignment horizontal="justify" vertical="center" wrapText="1"/>
    </xf>
    <xf numFmtId="0" fontId="37" fillId="4" borderId="1" xfId="0" applyFont="1" applyFill="1" applyBorder="1" applyAlignment="1">
      <alignment horizontal="center" vertical="center" wrapText="1"/>
    </xf>
    <xf numFmtId="0" fontId="40" fillId="4" borderId="1" xfId="0" applyFont="1" applyFill="1" applyBorder="1" applyAlignment="1">
      <alignment vertical="center" wrapText="1"/>
    </xf>
    <xf numFmtId="0" fontId="40" fillId="4" borderId="1" xfId="0" applyFont="1" applyFill="1" applyBorder="1" applyAlignment="1">
      <alignment horizontal="justify" vertical="center"/>
    </xf>
    <xf numFmtId="0" fontId="72" fillId="4" borderId="0" xfId="0" applyFont="1" applyFill="1"/>
    <xf numFmtId="2" fontId="40" fillId="4" borderId="1" xfId="0" applyNumberFormat="1" applyFont="1" applyFill="1" applyBorder="1" applyAlignment="1">
      <alignment horizontal="center" vertical="center"/>
    </xf>
    <xf numFmtId="2" fontId="40" fillId="4" borderId="1" xfId="0" applyNumberFormat="1" applyFont="1" applyFill="1" applyBorder="1" applyAlignment="1">
      <alignment horizontal="center" vertical="center" wrapText="1"/>
    </xf>
    <xf numFmtId="0" fontId="54" fillId="4" borderId="1" xfId="0" applyFont="1" applyFill="1" applyBorder="1" applyAlignment="1">
      <alignment horizontal="center"/>
    </xf>
    <xf numFmtId="2" fontId="54" fillId="4" borderId="1" xfId="0" applyNumberFormat="1" applyFont="1" applyFill="1" applyBorder="1" applyAlignment="1">
      <alignment horizontal="center"/>
    </xf>
    <xf numFmtId="0" fontId="62" fillId="4" borderId="0" xfId="0" applyFont="1" applyFill="1"/>
    <xf numFmtId="2" fontId="95" fillId="4" borderId="1" xfId="0" applyNumberFormat="1" applyFont="1" applyFill="1" applyBorder="1" applyAlignment="1">
      <alignment horizontal="center" vertical="center"/>
    </xf>
    <xf numFmtId="0" fontId="72" fillId="0" borderId="0" xfId="0" applyFont="1" applyAlignment="1">
      <alignment horizontal="center"/>
    </xf>
    <xf numFmtId="0" fontId="54" fillId="4" borderId="6" xfId="0" applyFont="1" applyFill="1" applyBorder="1" applyAlignment="1"/>
    <xf numFmtId="0" fontId="54" fillId="4" borderId="7" xfId="0" applyFont="1" applyFill="1" applyBorder="1" applyAlignment="1"/>
    <xf numFmtId="0" fontId="54" fillId="4" borderId="4" xfId="0" applyFont="1" applyFill="1" applyBorder="1" applyAlignment="1"/>
    <xf numFmtId="2" fontId="54" fillId="4" borderId="7" xfId="0" applyNumberFormat="1" applyFont="1" applyFill="1" applyBorder="1" applyAlignment="1"/>
    <xf numFmtId="0" fontId="17" fillId="0" borderId="1" xfId="0" applyFont="1" applyBorder="1" applyAlignment="1">
      <alignment horizontal="center" vertical="center"/>
    </xf>
    <xf numFmtId="0" fontId="94" fillId="0" borderId="1" xfId="0" applyFont="1" applyBorder="1" applyAlignment="1">
      <alignment horizontal="center" vertical="center" wrapText="1"/>
    </xf>
    <xf numFmtId="0" fontId="94" fillId="0" borderId="3" xfId="0" applyFont="1" applyBorder="1" applyAlignment="1">
      <alignment horizontal="center" vertical="center" wrapText="1"/>
    </xf>
    <xf numFmtId="0" fontId="93" fillId="0" borderId="1" xfId="0" applyFont="1" applyBorder="1" applyAlignment="1">
      <alignment horizontal="center" vertical="top" wrapText="1"/>
    </xf>
    <xf numFmtId="0" fontId="89" fillId="0" borderId="1" xfId="0" applyFont="1" applyBorder="1"/>
    <xf numFmtId="0" fontId="89" fillId="0" borderId="1" xfId="0" applyFont="1" applyBorder="1" applyAlignment="1">
      <alignment wrapText="1"/>
    </xf>
    <xf numFmtId="0" fontId="89" fillId="0" borderId="0" xfId="0" applyFont="1" applyAlignment="1">
      <alignment wrapText="1"/>
    </xf>
    <xf numFmtId="0" fontId="81" fillId="0" borderId="1" xfId="0" applyFont="1" applyBorder="1" applyAlignment="1">
      <alignment wrapText="1"/>
    </xf>
    <xf numFmtId="0" fontId="81" fillId="0" borderId="0" xfId="0" applyFont="1" applyAlignment="1">
      <alignment wrapText="1"/>
    </xf>
    <xf numFmtId="0" fontId="89" fillId="0" borderId="2" xfId="0" applyFont="1" applyBorder="1" applyAlignment="1">
      <alignment wrapText="1"/>
    </xf>
    <xf numFmtId="0" fontId="44" fillId="5" borderId="1" xfId="0" applyFont="1" applyFill="1" applyBorder="1" applyAlignment="1">
      <alignment vertical="top" wrapText="1"/>
    </xf>
    <xf numFmtId="0" fontId="44" fillId="0" borderId="1" xfId="0" applyFont="1" applyBorder="1" applyAlignment="1">
      <alignment horizontal="justify"/>
    </xf>
    <xf numFmtId="0" fontId="44" fillId="0" borderId="1" xfId="0" applyFont="1" applyBorder="1" applyAlignment="1">
      <alignment wrapText="1"/>
    </xf>
    <xf numFmtId="0" fontId="5" fillId="4" borderId="26" xfId="0" applyFont="1" applyFill="1" applyBorder="1" applyAlignment="1">
      <alignment vertical="top" wrapText="1"/>
    </xf>
    <xf numFmtId="0" fontId="44" fillId="0" borderId="1" xfId="0" applyFont="1" applyBorder="1" applyAlignment="1">
      <alignment horizontal="justify" wrapText="1"/>
    </xf>
    <xf numFmtId="0" fontId="60" fillId="0" borderId="3" xfId="0" applyFont="1" applyBorder="1" applyAlignment="1">
      <alignment horizontal="center" vertical="top" wrapText="1"/>
    </xf>
    <xf numFmtId="0" fontId="60" fillId="0" borderId="2" xfId="0" applyFont="1" applyBorder="1" applyAlignment="1">
      <alignment horizontal="center" vertical="top" wrapText="1"/>
    </xf>
    <xf numFmtId="0" fontId="37" fillId="0" borderId="1" xfId="0" applyFont="1" applyFill="1" applyBorder="1" applyAlignment="1">
      <alignment horizontal="center" vertical="center" wrapText="1"/>
    </xf>
    <xf numFmtId="0" fontId="2" fillId="0" borderId="0" xfId="0" applyFont="1" applyFill="1" applyAlignment="1">
      <alignment horizontal="left" vertical="top" wrapText="1"/>
    </xf>
    <xf numFmtId="49" fontId="2" fillId="0" borderId="1" xfId="0" applyNumberFormat="1" applyFont="1" applyFill="1" applyBorder="1" applyAlignment="1">
      <alignment horizontal="left" vertical="top" wrapText="1"/>
    </xf>
    <xf numFmtId="0" fontId="2" fillId="0" borderId="0" xfId="0" applyFont="1" applyFill="1" applyAlignment="1">
      <alignment wrapText="1"/>
    </xf>
    <xf numFmtId="0" fontId="37" fillId="2" borderId="1" xfId="0" applyFont="1" applyFill="1" applyBorder="1" applyAlignment="1">
      <alignment horizontal="justify" vertical="top" wrapText="1"/>
    </xf>
    <xf numFmtId="0" fontId="2" fillId="0" borderId="0" xfId="0" applyFont="1" applyAlignment="1">
      <alignment horizontal="left" vertical="top" wrapText="1"/>
    </xf>
    <xf numFmtId="49" fontId="2" fillId="0" borderId="1" xfId="0" applyNumberFormat="1" applyFont="1" applyBorder="1" applyAlignment="1">
      <alignment horizontal="left" vertical="top" wrapText="1"/>
    </xf>
    <xf numFmtId="0" fontId="2" fillId="0" borderId="1" xfId="0" applyFont="1" applyBorder="1" applyAlignment="1">
      <alignment horizontal="justify" vertical="top"/>
    </xf>
    <xf numFmtId="0" fontId="37" fillId="2" borderId="1" xfId="0" applyFont="1" applyFill="1" applyBorder="1" applyAlignment="1">
      <alignment vertical="top" wrapText="1"/>
    </xf>
    <xf numFmtId="2" fontId="72" fillId="2" borderId="1" xfId="0" applyNumberFormat="1" applyFont="1" applyFill="1" applyBorder="1" applyAlignment="1">
      <alignment vertical="center"/>
    </xf>
    <xf numFmtId="2" fontId="40" fillId="2" borderId="1" xfId="0" applyNumberFormat="1" applyFont="1" applyFill="1" applyBorder="1" applyAlignment="1">
      <alignment horizontal="center" vertical="top" wrapText="1"/>
    </xf>
    <xf numFmtId="0" fontId="54" fillId="2" borderId="1" xfId="0" applyFont="1" applyFill="1" applyBorder="1" applyAlignment="1">
      <alignment horizontal="center"/>
    </xf>
    <xf numFmtId="2" fontId="54" fillId="2" borderId="1" xfId="0" applyNumberFormat="1" applyFont="1" applyFill="1" applyBorder="1" applyAlignment="1">
      <alignment horizontal="center"/>
    </xf>
    <xf numFmtId="0" fontId="72" fillId="0" borderId="0" xfId="0" applyFont="1" applyAlignment="1">
      <alignment vertical="top" wrapText="1"/>
    </xf>
    <xf numFmtId="0" fontId="49" fillId="0" borderId="0" xfId="0" applyFont="1" applyAlignment="1">
      <alignment vertical="top" wrapText="1"/>
    </xf>
    <xf numFmtId="2" fontId="72" fillId="0" borderId="0" xfId="0" applyNumberFormat="1" applyFont="1" applyAlignment="1">
      <alignment vertical="top" wrapText="1"/>
    </xf>
    <xf numFmtId="0" fontId="72" fillId="0" borderId="0" xfId="0" applyFont="1" applyAlignment="1">
      <alignment horizontal="center" vertical="top" wrapText="1"/>
    </xf>
    <xf numFmtId="2" fontId="72" fillId="0" borderId="0" xfId="0" applyNumberFormat="1" applyFont="1" applyAlignment="1">
      <alignment horizontal="center" vertical="top" wrapText="1"/>
    </xf>
    <xf numFmtId="0" fontId="37" fillId="0" borderId="0" xfId="0" applyFont="1"/>
    <xf numFmtId="0" fontId="99" fillId="0" borderId="0" xfId="0" applyFont="1" applyAlignment="1">
      <alignment horizontal="center" vertical="center"/>
    </xf>
    <xf numFmtId="0" fontId="99" fillId="0" borderId="0" xfId="0" applyFont="1" applyAlignment="1">
      <alignment horizontal="center"/>
    </xf>
    <xf numFmtId="0" fontId="99" fillId="0" borderId="0" xfId="0" applyFont="1"/>
    <xf numFmtId="0" fontId="99" fillId="0" borderId="0" xfId="0" applyFont="1" applyAlignment="1">
      <alignment vertical="center"/>
    </xf>
    <xf numFmtId="0" fontId="17" fillId="0" borderId="1" xfId="0" applyFont="1" applyBorder="1" applyAlignment="1">
      <alignment horizontal="center" vertical="top" wrapText="1"/>
    </xf>
    <xf numFmtId="0" fontId="17" fillId="5" borderId="1" xfId="0" applyFont="1" applyFill="1" applyBorder="1" applyAlignment="1">
      <alignment horizontal="center" vertical="center" wrapText="1"/>
    </xf>
    <xf numFmtId="0" fontId="64" fillId="0" borderId="0" xfId="0" applyFont="1"/>
    <xf numFmtId="0" fontId="19" fillId="0" borderId="1" xfId="0" applyFont="1" applyBorder="1" applyAlignment="1">
      <alignment horizontal="center" vertical="top" wrapText="1"/>
    </xf>
    <xf numFmtId="0" fontId="19" fillId="0" borderId="1" xfId="0" applyFont="1" applyBorder="1" applyAlignment="1">
      <alignment horizontal="center" vertical="center"/>
    </xf>
    <xf numFmtId="0" fontId="19" fillId="5" borderId="1" xfId="0" applyFont="1" applyFill="1" applyBorder="1" applyAlignment="1">
      <alignment horizontal="center" vertical="center"/>
    </xf>
    <xf numFmtId="2" fontId="19" fillId="0" borderId="1" xfId="0" applyNumberFormat="1" applyFont="1" applyBorder="1" applyAlignment="1">
      <alignment horizontal="center" vertical="center"/>
    </xf>
    <xf numFmtId="0" fontId="80" fillId="0" borderId="1" xfId="0" applyFont="1" applyBorder="1" applyAlignment="1">
      <alignment horizontal="left" vertical="top" wrapText="1"/>
    </xf>
    <xf numFmtId="0" fontId="80" fillId="0" borderId="1" xfId="0" applyFont="1" applyBorder="1" applyAlignment="1">
      <alignment vertical="top" wrapText="1"/>
    </xf>
    <xf numFmtId="0" fontId="17" fillId="0" borderId="1" xfId="0" applyFont="1" applyBorder="1" applyAlignment="1">
      <alignment vertical="top" wrapText="1"/>
    </xf>
    <xf numFmtId="0" fontId="19" fillId="0" borderId="5" xfId="0" applyFont="1" applyBorder="1" applyAlignment="1">
      <alignment horizontal="center" vertical="top"/>
    </xf>
    <xf numFmtId="0" fontId="17" fillId="0" borderId="5" xfId="0" applyFont="1" applyBorder="1" applyAlignment="1">
      <alignment horizontal="center" vertical="top"/>
    </xf>
    <xf numFmtId="0" fontId="81" fillId="0" borderId="1" xfId="0" applyFont="1" applyBorder="1" applyAlignment="1">
      <alignment vertical="top" wrapText="1"/>
    </xf>
    <xf numFmtId="0" fontId="19" fillId="0" borderId="1" xfId="0" applyFont="1" applyBorder="1" applyAlignment="1">
      <alignment horizontal="center" vertical="center" wrapText="1"/>
    </xf>
    <xf numFmtId="0" fontId="17" fillId="0" borderId="0" xfId="1" applyFont="1" applyAlignment="1">
      <alignment vertical="top"/>
    </xf>
    <xf numFmtId="0" fontId="79" fillId="0" borderId="0" xfId="1" applyFont="1"/>
    <xf numFmtId="0" fontId="17" fillId="0" borderId="0" xfId="1" applyFont="1"/>
    <xf numFmtId="2" fontId="19" fillId="0" borderId="0" xfId="1" applyNumberFormat="1" applyFont="1"/>
    <xf numFmtId="0" fontId="19" fillId="0" borderId="0" xfId="1" applyFont="1" applyAlignment="1">
      <alignment horizontal="center"/>
    </xf>
    <xf numFmtId="0" fontId="40" fillId="0" borderId="0" xfId="1" applyFont="1" applyAlignment="1">
      <alignment horizontal="center"/>
    </xf>
    <xf numFmtId="0" fontId="19" fillId="0" borderId="0" xfId="1" applyFont="1" applyAlignment="1">
      <alignment vertical="top"/>
    </xf>
    <xf numFmtId="0" fontId="19" fillId="0" borderId="0" xfId="1" applyFont="1"/>
    <xf numFmtId="0" fontId="19" fillId="0" borderId="7" xfId="1" applyFont="1" applyBorder="1"/>
    <xf numFmtId="0" fontId="17" fillId="0" borderId="7" xfId="1" applyFont="1" applyBorder="1"/>
    <xf numFmtId="0" fontId="19" fillId="0" borderId="0" xfId="1" applyFont="1" applyAlignment="1"/>
    <xf numFmtId="0" fontId="17" fillId="0" borderId="0" xfId="1" applyFont="1" applyAlignment="1"/>
    <xf numFmtId="0" fontId="19" fillId="0" borderId="0" xfId="1" applyFont="1" applyAlignment="1">
      <alignment horizontal="left"/>
    </xf>
    <xf numFmtId="0" fontId="17" fillId="0" borderId="0" xfId="1" applyFont="1" applyAlignment="1">
      <alignment horizontal="left"/>
    </xf>
    <xf numFmtId="0" fontId="17" fillId="0" borderId="1" xfId="0" applyFont="1" applyBorder="1" applyAlignment="1">
      <alignment vertical="center" wrapText="1"/>
    </xf>
    <xf numFmtId="2" fontId="74" fillId="0" borderId="0" xfId="0" applyNumberFormat="1" applyFont="1"/>
    <xf numFmtId="2" fontId="74" fillId="0" borderId="1" xfId="0" applyNumberFormat="1" applyFont="1" applyBorder="1"/>
    <xf numFmtId="2" fontId="37" fillId="0" borderId="0" xfId="0" applyNumberFormat="1" applyFont="1" applyAlignment="1">
      <alignment vertical="top"/>
    </xf>
    <xf numFmtId="0" fontId="74" fillId="0" borderId="0" xfId="0" applyNumberFormat="1" applyFont="1" applyAlignment="1">
      <alignment wrapText="1"/>
    </xf>
    <xf numFmtId="0" fontId="40" fillId="2" borderId="6" xfId="0" applyFont="1" applyFill="1" applyBorder="1" applyAlignment="1"/>
    <xf numFmtId="0" fontId="40" fillId="2" borderId="7" xfId="0" applyFont="1" applyFill="1" applyBorder="1" applyAlignment="1"/>
    <xf numFmtId="0" fontId="40" fillId="2" borderId="4" xfId="0" applyFont="1" applyFill="1" applyBorder="1" applyAlignment="1"/>
    <xf numFmtId="2" fontId="40" fillId="2" borderId="1" xfId="0" applyNumberFormat="1" applyFont="1" applyFill="1" applyBorder="1" applyAlignment="1"/>
    <xf numFmtId="0" fontId="2" fillId="11" borderId="1" xfId="0" applyFont="1" applyFill="1" applyBorder="1" applyAlignment="1">
      <alignment vertical="top" wrapText="1"/>
    </xf>
    <xf numFmtId="0" fontId="67" fillId="0" borderId="1" xfId="0" applyFont="1" applyBorder="1" applyAlignment="1">
      <alignment horizontal="left" vertical="top" wrapText="1"/>
    </xf>
    <xf numFmtId="2" fontId="101" fillId="12" borderId="1" xfId="0" applyNumberFormat="1" applyFont="1" applyFill="1" applyBorder="1" applyAlignment="1">
      <alignment horizontal="center" vertical="center"/>
    </xf>
    <xf numFmtId="2" fontId="101" fillId="0" borderId="1" xfId="0" applyNumberFormat="1" applyFont="1" applyBorder="1" applyAlignment="1">
      <alignment horizontal="center" vertical="center"/>
    </xf>
    <xf numFmtId="0" fontId="69" fillId="0" borderId="1" xfId="0" applyFont="1" applyBorder="1" applyAlignment="1">
      <alignment vertical="top" wrapText="1"/>
    </xf>
    <xf numFmtId="2" fontId="104" fillId="12" borderId="1" xfId="0" applyNumberFormat="1" applyFont="1" applyFill="1" applyBorder="1" applyAlignment="1">
      <alignment horizontal="center" vertical="center" wrapText="1"/>
    </xf>
    <xf numFmtId="2" fontId="104" fillId="0" borderId="1" xfId="0" applyNumberFormat="1" applyFont="1" applyBorder="1" applyAlignment="1">
      <alignment horizontal="center" vertical="center" wrapText="1"/>
    </xf>
    <xf numFmtId="2" fontId="104" fillId="12" borderId="3" xfId="0" applyNumberFormat="1" applyFont="1" applyFill="1" applyBorder="1" applyAlignment="1">
      <alignment horizontal="center" vertical="center" wrapText="1"/>
    </xf>
    <xf numFmtId="2" fontId="105" fillId="0" borderId="1" xfId="0" applyNumberFormat="1" applyFont="1" applyBorder="1" applyAlignment="1">
      <alignment horizontal="center" vertical="center" wrapText="1"/>
    </xf>
    <xf numFmtId="2" fontId="104" fillId="12" borderId="2" xfId="0" applyNumberFormat="1" applyFont="1" applyFill="1" applyBorder="1" applyAlignment="1">
      <alignment horizontal="center" vertical="center" wrapText="1"/>
    </xf>
    <xf numFmtId="2" fontId="103" fillId="12" borderId="1" xfId="0" applyNumberFormat="1" applyFont="1" applyFill="1" applyBorder="1" applyAlignment="1">
      <alignment horizontal="center" vertical="center" wrapText="1"/>
    </xf>
    <xf numFmtId="2" fontId="103" fillId="0" borderId="1" xfId="0" applyNumberFormat="1" applyFont="1" applyBorder="1" applyAlignment="1">
      <alignment horizontal="center" vertical="center" wrapText="1"/>
    </xf>
    <xf numFmtId="2" fontId="106" fillId="0" borderId="1" xfId="0" applyNumberFormat="1" applyFont="1" applyBorder="1" applyAlignment="1">
      <alignment horizontal="center" vertical="center" wrapText="1"/>
    </xf>
    <xf numFmtId="0" fontId="104" fillId="12" borderId="1" xfId="0" applyFont="1" applyFill="1" applyBorder="1" applyAlignment="1">
      <alignment wrapText="1"/>
    </xf>
    <xf numFmtId="0" fontId="93" fillId="12" borderId="1" xfId="0" applyFont="1" applyFill="1" applyBorder="1" applyAlignment="1">
      <alignment wrapText="1"/>
    </xf>
    <xf numFmtId="0" fontId="90" fillId="12" borderId="7" xfId="0" applyFont="1" applyFill="1" applyBorder="1" applyAlignment="1">
      <alignment horizontal="center" wrapText="1"/>
    </xf>
    <xf numFmtId="0" fontId="104" fillId="12" borderId="1" xfId="0" applyFont="1" applyFill="1" applyBorder="1" applyAlignment="1">
      <alignment horizontal="center" wrapText="1"/>
    </xf>
    <xf numFmtId="0" fontId="104" fillId="12" borderId="1" xfId="0" applyFont="1" applyFill="1" applyBorder="1" applyAlignment="1">
      <alignment horizontal="center" vertical="center" wrapText="1"/>
    </xf>
    <xf numFmtId="0" fontId="12" fillId="0" borderId="0" xfId="0" applyFont="1" applyAlignment="1">
      <alignment wrapText="1"/>
    </xf>
    <xf numFmtId="2" fontId="12" fillId="0" borderId="0" xfId="0" applyNumberFormat="1" applyFont="1" applyAlignment="1">
      <alignment wrapText="1"/>
    </xf>
    <xf numFmtId="0" fontId="12" fillId="0" borderId="0" xfId="0" applyFont="1" applyAlignment="1">
      <alignment horizontal="center" wrapText="1"/>
    </xf>
    <xf numFmtId="0" fontId="2" fillId="0" borderId="0" xfId="0" applyFont="1" applyAlignment="1">
      <alignment horizontal="center" wrapText="1"/>
    </xf>
    <xf numFmtId="0" fontId="25" fillId="0" borderId="0" xfId="0" applyFont="1" applyAlignment="1">
      <alignment wrapText="1"/>
    </xf>
    <xf numFmtId="2" fontId="25" fillId="0" borderId="0" xfId="0" applyNumberFormat="1" applyFont="1" applyAlignment="1">
      <alignment wrapText="1"/>
    </xf>
    <xf numFmtId="0" fontId="25" fillId="0" borderId="0" xfId="0" applyFont="1" applyAlignment="1">
      <alignment horizontal="center" wrapText="1"/>
    </xf>
    <xf numFmtId="0" fontId="12" fillId="0" borderId="7" xfId="0" applyFont="1" applyBorder="1" applyAlignment="1">
      <alignment wrapText="1"/>
    </xf>
    <xf numFmtId="0" fontId="12" fillId="0" borderId="0" xfId="0" applyFont="1" applyAlignment="1">
      <alignment horizontal="left" wrapText="1"/>
    </xf>
    <xf numFmtId="0" fontId="104" fillId="0" borderId="0" xfId="0" applyFont="1" applyAlignment="1">
      <alignment wrapText="1"/>
    </xf>
    <xf numFmtId="0" fontId="104" fillId="0" borderId="0" xfId="0" applyFont="1" applyAlignment="1">
      <alignment horizontal="center" vertical="center" wrapText="1"/>
    </xf>
    <xf numFmtId="2" fontId="104" fillId="12" borderId="5" xfId="0" applyNumberFormat="1" applyFont="1" applyFill="1" applyBorder="1" applyAlignment="1">
      <alignment horizontal="center" vertical="center" wrapText="1"/>
    </xf>
    <xf numFmtId="0" fontId="0" fillId="0" borderId="0" xfId="0" applyAlignment="1">
      <alignment wrapText="1"/>
    </xf>
    <xf numFmtId="165" fontId="1" fillId="0" borderId="7" xfId="0" applyNumberFormat="1" applyFont="1" applyBorder="1"/>
    <xf numFmtId="165" fontId="17" fillId="0" borderId="1" xfId="0" applyNumberFormat="1" applyFont="1" applyBorder="1" applyAlignment="1">
      <alignment horizontal="center" vertical="top" wrapText="1"/>
    </xf>
    <xf numFmtId="0" fontId="19" fillId="0" borderId="1" xfId="0" applyFont="1" applyBorder="1" applyAlignment="1">
      <alignment horizontal="center" vertical="top" wrapText="1"/>
    </xf>
    <xf numFmtId="0" fontId="1" fillId="0" borderId="2" xfId="0" applyFont="1" applyBorder="1" applyAlignment="1">
      <alignment horizontal="left" vertical="center" wrapText="1"/>
    </xf>
    <xf numFmtId="0" fontId="1" fillId="0" borderId="16" xfId="0" applyFont="1" applyBorder="1" applyAlignment="1">
      <alignment vertical="top" wrapText="1"/>
    </xf>
    <xf numFmtId="0" fontId="49" fillId="0" borderId="1" xfId="0" applyFont="1" applyBorder="1" applyAlignment="1">
      <alignment horizontal="center" vertical="center" wrapText="1"/>
    </xf>
    <xf numFmtId="0" fontId="49" fillId="5" borderId="1" xfId="0" applyFont="1" applyFill="1" applyBorder="1" applyAlignment="1">
      <alignment horizontal="center" vertical="center" wrapText="1"/>
    </xf>
    <xf numFmtId="16" fontId="1" fillId="0" borderId="1" xfId="0" applyNumberFormat="1" applyFont="1" applyBorder="1" applyAlignment="1">
      <alignment horizontal="justify" vertical="top" wrapText="1"/>
    </xf>
    <xf numFmtId="0" fontId="1" fillId="0" borderId="0" xfId="0" applyFont="1" applyAlignment="1">
      <alignment horizontal="center" vertical="top"/>
    </xf>
    <xf numFmtId="0" fontId="19" fillId="5" borderId="1" xfId="0" applyFont="1" applyFill="1" applyBorder="1" applyAlignment="1">
      <alignment horizontal="center" vertical="top" wrapText="1"/>
    </xf>
    <xf numFmtId="2" fontId="19" fillId="0" borderId="1" xfId="0" applyNumberFormat="1" applyFont="1" applyBorder="1" applyAlignment="1">
      <alignment horizontal="center" vertical="top" wrapText="1"/>
    </xf>
    <xf numFmtId="165" fontId="19" fillId="0" borderId="1" xfId="0" applyNumberFormat="1" applyFont="1" applyBorder="1" applyAlignment="1">
      <alignment horizontal="center" vertical="top" wrapText="1"/>
    </xf>
    <xf numFmtId="0" fontId="5" fillId="0" borderId="0" xfId="0" applyFont="1" applyAlignment="1">
      <alignment horizontal="center" vertical="top" wrapText="1"/>
    </xf>
    <xf numFmtId="0" fontId="24" fillId="0" borderId="0" xfId="0" applyFont="1" applyAlignment="1">
      <alignment horizontal="center" vertical="top" wrapText="1"/>
    </xf>
    <xf numFmtId="0" fontId="26" fillId="0" borderId="0" xfId="0" applyFont="1" applyAlignment="1">
      <alignment horizontal="center" vertical="top" wrapText="1"/>
    </xf>
    <xf numFmtId="0" fontId="24" fillId="0" borderId="0" xfId="0" applyFont="1" applyBorder="1" applyAlignment="1">
      <alignment horizontal="center" vertical="top" wrapText="1"/>
    </xf>
    <xf numFmtId="0" fontId="13" fillId="0" borderId="0" xfId="0" applyFont="1" applyAlignment="1">
      <alignment horizontal="center" vertical="top" wrapText="1"/>
    </xf>
    <xf numFmtId="0" fontId="40" fillId="0" borderId="1" xfId="0" applyFont="1" applyFill="1" applyBorder="1" applyAlignment="1">
      <alignment horizontal="left"/>
    </xf>
    <xf numFmtId="0" fontId="39" fillId="0" borderId="15" xfId="0" applyFont="1" applyFill="1" applyBorder="1" applyAlignment="1">
      <alignment horizontal="center" vertical="top" wrapText="1"/>
    </xf>
    <xf numFmtId="0" fontId="39" fillId="0" borderId="0" xfId="0" applyFont="1" applyFill="1" applyBorder="1" applyAlignment="1">
      <alignment horizontal="center" vertical="top" wrapText="1"/>
    </xf>
    <xf numFmtId="0" fontId="39" fillId="0" borderId="10" xfId="0" applyFont="1" applyFill="1" applyBorder="1" applyAlignment="1">
      <alignment horizontal="center" vertical="top" wrapText="1"/>
    </xf>
    <xf numFmtId="0" fontId="37" fillId="0" borderId="5" xfId="0" applyFont="1" applyFill="1" applyBorder="1" applyAlignment="1">
      <alignment horizontal="center" vertical="top" wrapText="1"/>
    </xf>
    <xf numFmtId="0" fontId="37" fillId="0" borderId="3" xfId="0" applyFont="1" applyFill="1" applyBorder="1" applyAlignment="1">
      <alignment horizontal="center" vertical="top" wrapText="1"/>
    </xf>
    <xf numFmtId="0" fontId="37" fillId="0" borderId="2" xfId="0" applyFont="1" applyFill="1" applyBorder="1" applyAlignment="1">
      <alignment horizontal="center" vertical="top" wrapText="1"/>
    </xf>
    <xf numFmtId="0" fontId="37" fillId="0" borderId="1" xfId="0" applyFont="1" applyFill="1" applyBorder="1" applyAlignment="1">
      <alignment horizontal="center" vertical="top" wrapText="1"/>
    </xf>
    <xf numFmtId="0" fontId="39" fillId="0" borderId="5" xfId="0" applyFont="1" applyFill="1" applyBorder="1" applyAlignment="1">
      <alignment horizontal="center" vertical="top" wrapText="1"/>
    </xf>
    <xf numFmtId="0" fontId="39" fillId="0" borderId="3" xfId="0" applyFont="1" applyFill="1" applyBorder="1" applyAlignment="1">
      <alignment horizontal="center" vertical="top" wrapText="1"/>
    </xf>
    <xf numFmtId="0" fontId="39" fillId="0" borderId="2" xfId="0" applyFont="1" applyFill="1" applyBorder="1" applyAlignment="1">
      <alignment horizontal="center" vertical="top" wrapText="1"/>
    </xf>
    <xf numFmtId="0" fontId="58" fillId="0" borderId="9" xfId="3" applyFont="1" applyBorder="1" applyAlignment="1">
      <alignment horizontal="center" vertical="center" wrapText="1"/>
    </xf>
    <xf numFmtId="0" fontId="58" fillId="0" borderId="10" xfId="3" applyFont="1" applyBorder="1" applyAlignment="1">
      <alignment horizontal="center" vertical="center" wrapText="1"/>
    </xf>
    <xf numFmtId="0" fontId="58" fillId="0" borderId="12" xfId="3" applyFont="1" applyBorder="1" applyAlignment="1">
      <alignment horizontal="center" vertical="center" wrapText="1"/>
    </xf>
    <xf numFmtId="0" fontId="39" fillId="0" borderId="5" xfId="0" applyFont="1" applyBorder="1" applyAlignment="1">
      <alignment horizontal="center" vertical="top" wrapText="1"/>
    </xf>
    <xf numFmtId="0" fontId="39" fillId="0" borderId="3" xfId="0" applyFont="1" applyBorder="1" applyAlignment="1">
      <alignment horizontal="center" vertical="top" wrapText="1"/>
    </xf>
    <xf numFmtId="0" fontId="39" fillId="0" borderId="2" xfId="0" applyFont="1" applyBorder="1" applyAlignment="1">
      <alignment horizontal="center" vertical="top" wrapText="1"/>
    </xf>
    <xf numFmtId="0" fontId="37" fillId="0" borderId="5" xfId="0" applyFont="1" applyBorder="1" applyAlignment="1">
      <alignment horizontal="center" vertical="top" wrapText="1"/>
    </xf>
    <xf numFmtId="0" fontId="37" fillId="0" borderId="3" xfId="0" applyFont="1" applyBorder="1" applyAlignment="1">
      <alignment horizontal="center" vertical="top" wrapText="1"/>
    </xf>
    <xf numFmtId="0" fontId="37" fillId="0" borderId="2" xfId="0" applyFont="1" applyBorder="1" applyAlignment="1">
      <alignment horizontal="center" vertical="top" wrapText="1"/>
    </xf>
    <xf numFmtId="2" fontId="37" fillId="0" borderId="1" xfId="0" applyNumberFormat="1" applyFont="1" applyBorder="1" applyAlignment="1">
      <alignment horizontal="center" vertical="top" wrapText="1"/>
    </xf>
    <xf numFmtId="0" fontId="40" fillId="2" borderId="1" xfId="0" applyFont="1" applyFill="1" applyBorder="1" applyAlignment="1">
      <alignment horizontal="left"/>
    </xf>
    <xf numFmtId="0" fontId="39" fillId="0" borderId="15" xfId="0" applyFont="1" applyBorder="1" applyAlignment="1">
      <alignment horizontal="center" vertical="top" wrapText="1"/>
    </xf>
    <xf numFmtId="0" fontId="39" fillId="0" borderId="0" xfId="0" applyFont="1" applyBorder="1" applyAlignment="1">
      <alignment horizontal="center" vertical="top" wrapText="1"/>
    </xf>
    <xf numFmtId="0" fontId="39" fillId="0" borderId="10" xfId="0" applyFont="1" applyBorder="1" applyAlignment="1">
      <alignment horizontal="center" vertical="top" wrapText="1"/>
    </xf>
    <xf numFmtId="0" fontId="38" fillId="0" borderId="9" xfId="3" applyFont="1" applyBorder="1" applyAlignment="1">
      <alignment horizontal="center" vertical="center" wrapText="1"/>
    </xf>
    <xf numFmtId="0" fontId="38" fillId="0" borderId="10" xfId="3" applyFont="1" applyBorder="1" applyAlignment="1">
      <alignment horizontal="center" vertical="center" wrapText="1"/>
    </xf>
    <xf numFmtId="0" fontId="38" fillId="0" borderId="12" xfId="3" applyFont="1" applyBorder="1" applyAlignment="1">
      <alignment horizontal="center" vertical="center" wrapText="1"/>
    </xf>
    <xf numFmtId="0" fontId="39" fillId="0" borderId="1" xfId="0" applyFont="1" applyBorder="1" applyAlignment="1">
      <alignment horizontal="center" vertical="top" wrapText="1"/>
    </xf>
    <xf numFmtId="0" fontId="37" fillId="0" borderId="1" xfId="0" applyFont="1" applyBorder="1" applyAlignment="1">
      <alignment horizontal="center" vertical="top" wrapText="1"/>
    </xf>
    <xf numFmtId="2" fontId="37" fillId="2" borderId="1" xfId="0" applyNumberFormat="1" applyFont="1" applyFill="1" applyBorder="1" applyAlignment="1">
      <alignment horizontal="center" vertical="top" wrapText="1"/>
    </xf>
    <xf numFmtId="0" fontId="40" fillId="0" borderId="5" xfId="0" applyFont="1" applyFill="1" applyBorder="1" applyAlignment="1">
      <alignment horizontal="center" vertical="top" wrapText="1"/>
    </xf>
    <xf numFmtId="0" fontId="40" fillId="0" borderId="3" xfId="0" applyFont="1" applyFill="1" applyBorder="1" applyAlignment="1">
      <alignment horizontal="center" vertical="top" wrapText="1"/>
    </xf>
    <xf numFmtId="0" fontId="40" fillId="0" borderId="2" xfId="0" applyFont="1" applyFill="1" applyBorder="1" applyAlignment="1">
      <alignment horizontal="center" vertical="top" wrapText="1"/>
    </xf>
    <xf numFmtId="2" fontId="40" fillId="0" borderId="5" xfId="0" applyNumberFormat="1" applyFont="1" applyFill="1" applyBorder="1" applyAlignment="1">
      <alignment horizontal="center" vertical="top" wrapText="1"/>
    </xf>
    <xf numFmtId="2" fontId="40" fillId="0" borderId="3" xfId="0" applyNumberFormat="1" applyFont="1" applyFill="1" applyBorder="1" applyAlignment="1">
      <alignment horizontal="center" vertical="top" wrapText="1"/>
    </xf>
    <xf numFmtId="2" fontId="40" fillId="0" borderId="2" xfId="0" applyNumberFormat="1" applyFont="1" applyFill="1" applyBorder="1" applyAlignment="1">
      <alignment horizontal="center" vertical="top" wrapText="1"/>
    </xf>
    <xf numFmtId="0" fontId="54" fillId="0" borderId="1" xfId="0" applyFont="1" applyFill="1" applyBorder="1" applyAlignment="1">
      <alignment horizontal="left"/>
    </xf>
    <xf numFmtId="0" fontId="40" fillId="0" borderId="1" xfId="0" applyFont="1" applyFill="1" applyBorder="1" applyAlignment="1">
      <alignment horizontal="center" vertical="top" wrapText="1"/>
    </xf>
    <xf numFmtId="2" fontId="40" fillId="0" borderId="1" xfId="0" applyNumberFormat="1" applyFont="1" applyFill="1" applyBorder="1" applyAlignment="1">
      <alignment horizontal="center" vertical="top" wrapText="1"/>
    </xf>
    <xf numFmtId="0" fontId="40" fillId="0" borderId="1" xfId="0" applyFont="1" applyBorder="1" applyAlignment="1">
      <alignment horizontal="center" vertical="top" wrapText="1"/>
    </xf>
    <xf numFmtId="2" fontId="40" fillId="0" borderId="1" xfId="0" applyNumberFormat="1" applyFont="1" applyBorder="1" applyAlignment="1">
      <alignment horizontal="center" vertical="top"/>
    </xf>
    <xf numFmtId="0" fontId="57" fillId="0" borderId="17" xfId="0" applyFont="1" applyBorder="1" applyAlignment="1">
      <alignment wrapText="1"/>
    </xf>
    <xf numFmtId="0" fontId="57" fillId="0" borderId="0" xfId="0" applyFont="1" applyBorder="1" applyAlignment="1">
      <alignment wrapText="1"/>
    </xf>
    <xf numFmtId="0" fontId="40" fillId="0" borderId="5"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5" xfId="0" applyFont="1" applyBorder="1" applyAlignment="1">
      <alignment horizontal="center" vertical="top" wrapText="1"/>
    </xf>
    <xf numFmtId="0" fontId="40" fillId="0" borderId="3" xfId="0" applyFont="1" applyBorder="1" applyAlignment="1">
      <alignment horizontal="center" vertical="top" wrapText="1"/>
    </xf>
    <xf numFmtId="0" fontId="40" fillId="0" borderId="2" xfId="0" applyFont="1" applyBorder="1" applyAlignment="1">
      <alignment horizontal="center" vertical="top" wrapText="1"/>
    </xf>
    <xf numFmtId="0" fontId="17" fillId="0" borderId="0" xfId="0" applyFont="1" applyAlignment="1">
      <alignment horizontal="center" vertical="top" wrapText="1"/>
    </xf>
    <xf numFmtId="0" fontId="55" fillId="8" borderId="1" xfId="0" applyFont="1" applyFill="1" applyBorder="1" applyAlignment="1">
      <alignment horizontal="center" vertical="top" wrapText="1"/>
    </xf>
    <xf numFmtId="0" fontId="55" fillId="8" borderId="1" xfId="0" applyFont="1" applyFill="1" applyBorder="1" applyAlignment="1">
      <alignment horizontal="center" vertical="center" textRotation="90" wrapText="1"/>
    </xf>
    <xf numFmtId="2" fontId="55" fillId="8" borderId="1" xfId="0" applyNumberFormat="1" applyFont="1" applyFill="1" applyBorder="1" applyAlignment="1">
      <alignment horizontal="center" vertical="center" textRotation="90" wrapText="1"/>
    </xf>
    <xf numFmtId="2" fontId="55" fillId="8" borderId="1" xfId="0" applyNumberFormat="1" applyFont="1" applyFill="1" applyBorder="1" applyAlignment="1">
      <alignment horizontal="center" vertical="top" textRotation="90" wrapText="1"/>
    </xf>
    <xf numFmtId="0" fontId="1" fillId="0" borderId="1" xfId="0" applyFont="1" applyBorder="1" applyAlignment="1">
      <alignment horizontal="center" vertical="top"/>
    </xf>
    <xf numFmtId="0" fontId="1" fillId="0" borderId="5" xfId="0" applyFont="1" applyBorder="1" applyAlignment="1">
      <alignment horizontal="center" vertical="top"/>
    </xf>
    <xf numFmtId="0" fontId="1" fillId="0" borderId="3" xfId="0" applyFont="1" applyBorder="1" applyAlignment="1">
      <alignment horizontal="center" vertical="top"/>
    </xf>
    <xf numFmtId="0" fontId="1" fillId="0" borderId="2" xfId="0" applyFont="1" applyBorder="1" applyAlignment="1">
      <alignment horizontal="center" vertical="top"/>
    </xf>
    <xf numFmtId="0" fontId="1" fillId="0" borderId="5"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165" fontId="1" fillId="0" borderId="1" xfId="0" applyNumberFormat="1" applyFont="1" applyBorder="1" applyAlignment="1">
      <alignment horizontal="center" vertical="center"/>
    </xf>
    <xf numFmtId="0" fontId="1" fillId="0" borderId="1" xfId="0" applyFont="1" applyBorder="1" applyAlignment="1">
      <alignment horizontal="center" vertical="top" wrapText="1"/>
    </xf>
    <xf numFmtId="0" fontId="5" fillId="0" borderId="1" xfId="0" applyFont="1" applyBorder="1" applyAlignment="1">
      <alignment horizontal="center" vertical="center" wrapText="1"/>
    </xf>
    <xf numFmtId="165" fontId="1" fillId="0" borderId="5" xfId="0" applyNumberFormat="1" applyFont="1" applyBorder="1" applyAlignment="1">
      <alignment horizontal="center" vertical="center"/>
    </xf>
    <xf numFmtId="165" fontId="1" fillId="0" borderId="2" xfId="0" applyNumberFormat="1" applyFont="1" applyBorder="1" applyAlignment="1">
      <alignment horizontal="center" vertical="center"/>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4" xfId="0" applyFont="1" applyBorder="1" applyAlignment="1">
      <alignment horizontal="center" wrapText="1"/>
    </xf>
    <xf numFmtId="0" fontId="73" fillId="0" borderId="1" xfId="0" applyFont="1" applyBorder="1" applyAlignment="1">
      <alignment horizontal="center" vertical="top" wrapText="1"/>
    </xf>
    <xf numFmtId="0" fontId="73" fillId="0" borderId="1" xfId="0" applyFont="1" applyBorder="1" applyAlignment="1">
      <alignment horizontal="center" vertical="justify" wrapText="1"/>
    </xf>
    <xf numFmtId="0" fontId="82" fillId="0" borderId="5" xfId="0" applyFont="1" applyBorder="1" applyAlignment="1">
      <alignment horizontal="center" wrapText="1"/>
    </xf>
    <xf numFmtId="0" fontId="82" fillId="0" borderId="3" xfId="0" applyFont="1" applyBorder="1" applyAlignment="1">
      <alignment horizontal="center" wrapText="1"/>
    </xf>
    <xf numFmtId="0" fontId="82" fillId="0" borderId="2" xfId="0" applyFont="1" applyBorder="1" applyAlignment="1">
      <alignment horizontal="center" wrapText="1"/>
    </xf>
    <xf numFmtId="0" fontId="72" fillId="0" borderId="6" xfId="0" applyFont="1" applyBorder="1" applyAlignment="1">
      <alignment horizontal="left" wrapText="1"/>
    </xf>
    <xf numFmtId="0" fontId="72" fillId="0" borderId="7" xfId="0" applyFont="1" applyBorder="1" applyAlignment="1">
      <alignment horizontal="left"/>
    </xf>
    <xf numFmtId="0" fontId="72" fillId="0" borderId="4" xfId="0" applyFont="1" applyBorder="1" applyAlignment="1">
      <alignment horizontal="left"/>
    </xf>
    <xf numFmtId="0" fontId="73" fillId="0" borderId="5" xfId="0" applyFont="1" applyBorder="1" applyAlignment="1">
      <alignment horizontal="center" vertical="top" wrapText="1"/>
    </xf>
    <xf numFmtId="0" fontId="73" fillId="0" borderId="3" xfId="0" applyFont="1" applyBorder="1" applyAlignment="1">
      <alignment horizontal="center" vertical="top" wrapText="1"/>
    </xf>
    <xf numFmtId="0" fontId="73" fillId="0" borderId="2" xfId="0" applyFont="1" applyBorder="1" applyAlignment="1">
      <alignment horizontal="center" vertical="top" wrapText="1"/>
    </xf>
    <xf numFmtId="0" fontId="73" fillId="0" borderId="5" xfId="0" applyFont="1" applyBorder="1" applyAlignment="1">
      <alignment horizontal="center" vertical="justify" wrapText="1"/>
    </xf>
    <xf numFmtId="0" fontId="73" fillId="0" borderId="3" xfId="0" applyFont="1" applyBorder="1" applyAlignment="1">
      <alignment horizontal="center" vertical="justify" wrapText="1"/>
    </xf>
    <xf numFmtId="0" fontId="73" fillId="0" borderId="2" xfId="0" applyFont="1" applyBorder="1" applyAlignment="1">
      <alignment horizontal="center" vertical="justify" wrapText="1"/>
    </xf>
    <xf numFmtId="0" fontId="0" fillId="0" borderId="1" xfId="0" applyBorder="1" applyAlignment="1">
      <alignment horizontal="center" vertical="top"/>
    </xf>
    <xf numFmtId="0" fontId="73" fillId="0" borderId="1" xfId="0" applyFont="1" applyBorder="1" applyAlignment="1">
      <alignment vertical="top" wrapText="1"/>
    </xf>
    <xf numFmtId="0" fontId="0" fillId="0" borderId="1" xfId="0" applyBorder="1" applyAlignment="1">
      <alignment horizontal="center" vertical="justify"/>
    </xf>
    <xf numFmtId="0" fontId="70" fillId="0" borderId="5" xfId="0" applyFont="1" applyBorder="1" applyAlignment="1">
      <alignment horizontal="center"/>
    </xf>
    <xf numFmtId="0" fontId="70" fillId="0" borderId="2" xfId="0" applyFont="1" applyBorder="1" applyAlignment="1">
      <alignment horizontal="center"/>
    </xf>
    <xf numFmtId="0" fontId="80" fillId="0" borderId="27" xfId="0" applyFont="1" applyBorder="1" applyAlignment="1">
      <alignment horizontal="center" wrapText="1"/>
    </xf>
    <xf numFmtId="0" fontId="96" fillId="0" borderId="27" xfId="0" applyFont="1" applyBorder="1" applyAlignment="1">
      <alignment horizontal="center" wrapText="1"/>
    </xf>
    <xf numFmtId="0" fontId="83" fillId="0" borderId="1" xfId="0" applyFont="1" applyBorder="1" applyAlignment="1">
      <alignment horizontal="center" vertical="top" wrapText="1"/>
    </xf>
    <xf numFmtId="0" fontId="73" fillId="4" borderId="1" xfId="0" applyFont="1" applyFill="1" applyBorder="1" applyAlignment="1">
      <alignment horizontal="center" vertical="top" wrapText="1"/>
    </xf>
    <xf numFmtId="0" fontId="97" fillId="0" borderId="5" xfId="0" applyFont="1" applyBorder="1" applyAlignment="1">
      <alignment horizontal="center" vertical="justify"/>
    </xf>
    <xf numFmtId="0" fontId="97" fillId="0" borderId="3" xfId="0" applyFont="1" applyBorder="1" applyAlignment="1">
      <alignment horizontal="center" vertical="justify"/>
    </xf>
    <xf numFmtId="0" fontId="97" fillId="0" borderId="2" xfId="0" applyFont="1" applyBorder="1" applyAlignment="1">
      <alignment horizontal="center" vertical="justify"/>
    </xf>
    <xf numFmtId="0" fontId="17" fillId="0" borderId="0" xfId="0" applyFont="1" applyAlignment="1">
      <alignment horizontal="center"/>
    </xf>
    <xf numFmtId="0" fontId="17" fillId="0" borderId="0" xfId="0" applyFont="1" applyAlignment="1">
      <alignment horizontal="center" wrapText="1"/>
    </xf>
    <xf numFmtId="0" fontId="17" fillId="0" borderId="1" xfId="0" applyFont="1" applyBorder="1" applyAlignment="1">
      <alignment horizontal="center" vertical="center" wrapText="1"/>
    </xf>
    <xf numFmtId="0" fontId="17" fillId="0" borderId="5" xfId="0" applyFont="1" applyBorder="1" applyAlignment="1">
      <alignment horizontal="center" vertical="center"/>
    </xf>
    <xf numFmtId="0" fontId="17" fillId="0" borderId="3" xfId="0" applyFont="1" applyBorder="1" applyAlignment="1">
      <alignment horizontal="center" vertical="center"/>
    </xf>
    <xf numFmtId="0" fontId="17" fillId="0" borderId="15" xfId="0" applyFont="1" applyBorder="1" applyAlignment="1">
      <alignment horizontal="left" vertical="top" wrapText="1"/>
    </xf>
    <xf numFmtId="0" fontId="17" fillId="0" borderId="14" xfId="0" applyFont="1" applyBorder="1" applyAlignment="1">
      <alignment horizontal="left" vertical="top" wrapText="1"/>
    </xf>
    <xf numFmtId="0" fontId="17" fillId="0" borderId="0" xfId="0" applyFont="1" applyBorder="1" applyAlignment="1">
      <alignment horizontal="left" vertical="top" wrapText="1"/>
    </xf>
    <xf numFmtId="0" fontId="17" fillId="0" borderId="11" xfId="0" applyFont="1" applyBorder="1" applyAlignment="1">
      <alignment horizontal="left" vertical="top" wrapText="1"/>
    </xf>
    <xf numFmtId="0" fontId="19" fillId="0" borderId="8" xfId="0" applyFont="1" applyBorder="1" applyAlignment="1">
      <alignment horizontal="center" vertical="top" wrapText="1"/>
    </xf>
    <xf numFmtId="0" fontId="19" fillId="0" borderId="11" xfId="0" applyFont="1" applyBorder="1" applyAlignment="1">
      <alignment horizontal="center" vertical="top" wrapText="1"/>
    </xf>
    <xf numFmtId="49" fontId="19" fillId="0" borderId="8" xfId="0" applyNumberFormat="1" applyFont="1" applyBorder="1" applyAlignment="1">
      <alignment horizontal="center" vertical="center" wrapText="1"/>
    </xf>
    <xf numFmtId="49" fontId="19" fillId="0" borderId="11" xfId="0" applyNumberFormat="1" applyFont="1" applyBorder="1" applyAlignment="1">
      <alignment horizontal="center" vertical="center" wrapText="1"/>
    </xf>
    <xf numFmtId="49" fontId="19" fillId="0" borderId="0" xfId="0" applyNumberFormat="1" applyFont="1" applyBorder="1" applyAlignment="1">
      <alignment horizontal="center"/>
    </xf>
    <xf numFmtId="49" fontId="19" fillId="0" borderId="11" xfId="0" applyNumberFormat="1" applyFont="1" applyBorder="1" applyAlignment="1">
      <alignment horizontal="center"/>
    </xf>
    <xf numFmtId="0" fontId="17" fillId="0" borderId="1" xfId="0" applyFont="1" applyBorder="1" applyAlignment="1">
      <alignment horizontal="center" vertical="center"/>
    </xf>
    <xf numFmtId="0" fontId="17" fillId="0" borderId="13" xfId="0" applyFont="1" applyBorder="1" applyAlignment="1">
      <alignment horizontal="center" vertical="top" wrapText="1"/>
    </xf>
    <xf numFmtId="0" fontId="0" fillId="0" borderId="14" xfId="0" applyBorder="1" applyAlignment="1">
      <alignment horizontal="center"/>
    </xf>
    <xf numFmtId="2" fontId="24" fillId="6" borderId="6" xfId="0" applyNumberFormat="1" applyFont="1" applyFill="1" applyBorder="1" applyAlignment="1">
      <alignment horizontal="center" vertical="center" wrapText="1"/>
    </xf>
    <xf numFmtId="2" fontId="24" fillId="6" borderId="4" xfId="0" applyNumberFormat="1" applyFont="1" applyFill="1" applyBorder="1" applyAlignment="1">
      <alignment horizontal="center" vertical="center" wrapText="1"/>
    </xf>
    <xf numFmtId="2" fontId="24" fillId="8" borderId="6" xfId="0" applyNumberFormat="1" applyFont="1" applyFill="1" applyBorder="1" applyAlignment="1">
      <alignment horizontal="left" vertical="center" wrapText="1"/>
    </xf>
    <xf numFmtId="2" fontId="24" fillId="8" borderId="7" xfId="0" applyNumberFormat="1" applyFont="1" applyFill="1" applyBorder="1" applyAlignment="1">
      <alignment horizontal="left" vertical="center" wrapText="1"/>
    </xf>
    <xf numFmtId="2" fontId="24" fillId="8" borderId="4" xfId="0" applyNumberFormat="1" applyFont="1" applyFill="1" applyBorder="1" applyAlignment="1">
      <alignment horizontal="left" vertical="center" wrapText="1"/>
    </xf>
    <xf numFmtId="0" fontId="24" fillId="0" borderId="1" xfId="0" applyFont="1" applyBorder="1" applyAlignment="1">
      <alignment horizontal="center" vertical="center" wrapText="1"/>
    </xf>
    <xf numFmtId="2" fontId="24" fillId="0" borderId="1" xfId="0" applyNumberFormat="1" applyFont="1" applyBorder="1" applyAlignment="1">
      <alignment horizontal="center" vertical="center" wrapText="1"/>
    </xf>
    <xf numFmtId="0" fontId="24" fillId="0" borderId="0" xfId="0" applyFont="1" applyAlignment="1">
      <alignment horizontal="center"/>
    </xf>
    <xf numFmtId="0" fontId="31" fillId="0" borderId="10" xfId="0" applyFont="1" applyBorder="1" applyAlignment="1">
      <alignment horizontal="center"/>
    </xf>
    <xf numFmtId="0" fontId="31" fillId="0" borderId="0" xfId="0" applyFont="1" applyBorder="1" applyAlignment="1">
      <alignment horizontal="center"/>
    </xf>
    <xf numFmtId="2" fontId="24" fillId="6" borderId="6" xfId="0" applyNumberFormat="1" applyFont="1" applyFill="1" applyBorder="1" applyAlignment="1">
      <alignment horizontal="left" wrapText="1"/>
    </xf>
    <xf numFmtId="2" fontId="24" fillId="6" borderId="4" xfId="0" applyNumberFormat="1" applyFont="1" applyFill="1" applyBorder="1" applyAlignment="1">
      <alignment horizontal="left" wrapText="1"/>
    </xf>
    <xf numFmtId="2" fontId="24" fillId="5" borderId="6" xfId="0" applyNumberFormat="1" applyFont="1" applyFill="1" applyBorder="1" applyAlignment="1">
      <alignment horizontal="left" wrapText="1"/>
    </xf>
    <xf numFmtId="2" fontId="24" fillId="5" borderId="7" xfId="0" applyNumberFormat="1" applyFont="1" applyFill="1" applyBorder="1" applyAlignment="1">
      <alignment horizontal="left" wrapText="1"/>
    </xf>
    <xf numFmtId="2" fontId="24" fillId="5" borderId="4" xfId="0" applyNumberFormat="1" applyFont="1" applyFill="1" applyBorder="1" applyAlignment="1">
      <alignment horizontal="left" wrapText="1"/>
    </xf>
    <xf numFmtId="0" fontId="24" fillId="0" borderId="1" xfId="0" applyFont="1" applyBorder="1" applyAlignment="1">
      <alignment horizontal="center" vertical="top" wrapText="1"/>
    </xf>
    <xf numFmtId="0" fontId="24" fillId="0" borderId="1" xfId="0" applyFont="1" applyBorder="1" applyAlignment="1">
      <alignment horizontal="left" vertical="top" wrapText="1"/>
    </xf>
    <xf numFmtId="0" fontId="24" fillId="0" borderId="1" xfId="0" applyFont="1" applyBorder="1" applyAlignment="1">
      <alignment horizontal="center" wrapText="1"/>
    </xf>
    <xf numFmtId="0" fontId="24" fillId="0" borderId="0" xfId="0" applyFont="1" applyAlignment="1">
      <alignment horizontal="center" wrapText="1"/>
    </xf>
    <xf numFmtId="0" fontId="24" fillId="0" borderId="1" xfId="0" applyFont="1" applyBorder="1" applyAlignment="1">
      <alignment horizontal="left" vertical="center" wrapText="1"/>
    </xf>
    <xf numFmtId="0" fontId="24" fillId="3" borderId="1" xfId="0" applyFont="1" applyFill="1" applyBorder="1" applyAlignment="1">
      <alignment horizontal="left" vertical="center" wrapText="1"/>
    </xf>
    <xf numFmtId="0" fontId="24" fillId="8" borderId="6" xfId="0" applyFont="1" applyFill="1" applyBorder="1" applyAlignment="1">
      <alignment horizontal="left" vertical="center"/>
    </xf>
    <xf numFmtId="0" fontId="24" fillId="8" borderId="7" xfId="0" applyFont="1" applyFill="1" applyBorder="1" applyAlignment="1">
      <alignment horizontal="left" vertical="center"/>
    </xf>
    <xf numFmtId="0" fontId="24" fillId="8" borderId="4" xfId="0" applyFont="1" applyFill="1" applyBorder="1" applyAlignment="1">
      <alignment horizontal="left" vertical="center"/>
    </xf>
    <xf numFmtId="2" fontId="24" fillId="9" borderId="1" xfId="0" applyNumberFormat="1" applyFont="1" applyFill="1" applyBorder="1" applyAlignment="1">
      <alignment horizontal="center" vertical="center" wrapText="1"/>
    </xf>
    <xf numFmtId="0" fontId="26" fillId="0" borderId="1" xfId="0" applyFont="1" applyBorder="1" applyAlignment="1">
      <alignment horizontal="left" vertical="center" wrapText="1"/>
    </xf>
    <xf numFmtId="0" fontId="26" fillId="0" borderId="0" xfId="0" applyFont="1" applyAlignment="1">
      <alignment horizontal="center"/>
    </xf>
    <xf numFmtId="0" fontId="36" fillId="2" borderId="6" xfId="0" applyFont="1" applyFill="1" applyBorder="1" applyAlignment="1">
      <alignment horizontal="left" vertical="top" wrapText="1"/>
    </xf>
    <xf numFmtId="0" fontId="36" fillId="2" borderId="7" xfId="0" applyFont="1" applyFill="1" applyBorder="1" applyAlignment="1">
      <alignment horizontal="left" vertical="top" wrapText="1"/>
    </xf>
    <xf numFmtId="0" fontId="36" fillId="2" borderId="4" xfId="0" applyFont="1" applyFill="1" applyBorder="1" applyAlignment="1">
      <alignment horizontal="left" vertical="top" wrapText="1"/>
    </xf>
    <xf numFmtId="0" fontId="1" fillId="4" borderId="1" xfId="0" applyFont="1" applyFill="1" applyBorder="1" applyAlignment="1">
      <alignment horizontal="left" vertical="top" wrapText="1"/>
    </xf>
    <xf numFmtId="0" fontId="5" fillId="4" borderId="1" xfId="0" applyFont="1" applyFill="1" applyBorder="1" applyAlignment="1">
      <alignment horizontal="left" vertical="top" wrapText="1"/>
    </xf>
    <xf numFmtId="2" fontId="1" fillId="4" borderId="1" xfId="0" applyNumberFormat="1" applyFont="1" applyFill="1" applyBorder="1" applyAlignment="1">
      <alignment horizontal="center" vertical="top" wrapText="1"/>
    </xf>
    <xf numFmtId="0" fontId="1" fillId="4" borderId="1" xfId="0" applyFont="1" applyFill="1" applyBorder="1" applyAlignment="1">
      <alignment horizontal="center" vertical="top" wrapText="1"/>
    </xf>
    <xf numFmtId="0" fontId="34" fillId="4" borderId="1" xfId="0" applyFont="1" applyFill="1" applyBorder="1" applyAlignment="1">
      <alignment horizontal="left" vertical="top" wrapText="1"/>
    </xf>
    <xf numFmtId="0" fontId="36" fillId="2" borderId="6" xfId="0" applyFont="1" applyFill="1" applyBorder="1" applyAlignment="1">
      <alignment horizontal="center" vertical="top" wrapText="1"/>
    </xf>
    <xf numFmtId="0" fontId="36" fillId="2" borderId="7" xfId="0" applyFont="1" applyFill="1" applyBorder="1" applyAlignment="1">
      <alignment horizontal="center" vertical="top" wrapText="1"/>
    </xf>
    <xf numFmtId="0" fontId="1" fillId="0" borderId="1" xfId="0" applyFont="1" applyFill="1" applyBorder="1" applyAlignment="1">
      <alignment horizontal="center" vertical="top" wrapText="1"/>
    </xf>
    <xf numFmtId="0" fontId="35" fillId="4" borderId="5" xfId="0" applyFont="1" applyFill="1" applyBorder="1" applyAlignment="1">
      <alignment horizontal="center" vertical="top" wrapText="1"/>
    </xf>
    <xf numFmtId="0" fontId="35" fillId="4" borderId="3" xfId="0" applyFont="1" applyFill="1" applyBorder="1" applyAlignment="1">
      <alignment horizontal="center" vertical="top" wrapText="1"/>
    </xf>
    <xf numFmtId="0" fontId="35" fillId="4" borderId="2" xfId="0" applyFont="1" applyFill="1" applyBorder="1" applyAlignment="1">
      <alignment horizontal="center" vertical="top" wrapText="1"/>
    </xf>
    <xf numFmtId="2" fontId="40" fillId="4" borderId="5" xfId="0" applyNumberFormat="1" applyFont="1" applyFill="1" applyBorder="1" applyAlignment="1">
      <alignment horizontal="center" vertical="center" wrapText="1"/>
    </xf>
    <xf numFmtId="2" fontId="40" fillId="4" borderId="2" xfId="0" applyNumberFormat="1" applyFont="1" applyFill="1" applyBorder="1" applyAlignment="1">
      <alignment horizontal="center" vertical="center" wrapText="1"/>
    </xf>
    <xf numFmtId="0" fontId="40" fillId="4" borderId="1" xfId="0" applyFont="1" applyFill="1" applyBorder="1" applyAlignment="1">
      <alignment horizontal="center" vertical="top" wrapText="1"/>
    </xf>
    <xf numFmtId="0" fontId="40" fillId="4" borderId="1" xfId="0" applyFont="1" applyFill="1" applyBorder="1" applyAlignment="1">
      <alignment horizontal="left" vertical="top" wrapText="1"/>
    </xf>
    <xf numFmtId="2" fontId="40" fillId="4" borderId="1" xfId="2" applyNumberFormat="1" applyFont="1" applyFill="1" applyBorder="1" applyAlignment="1">
      <alignment horizontal="center" vertical="center" wrapText="1"/>
    </xf>
    <xf numFmtId="0" fontId="54" fillId="4" borderId="1" xfId="0" applyFont="1" applyFill="1" applyBorder="1" applyAlignment="1">
      <alignment horizontal="left"/>
    </xf>
    <xf numFmtId="0" fontId="40" fillId="4" borderId="5" xfId="0" applyFont="1" applyFill="1" applyBorder="1" applyAlignment="1">
      <alignment horizontal="center" vertical="center" wrapText="1"/>
    </xf>
    <xf numFmtId="0" fontId="40" fillId="4" borderId="3" xfId="0" applyFont="1" applyFill="1" applyBorder="1" applyAlignment="1">
      <alignment horizontal="center" vertical="center" wrapText="1"/>
    </xf>
    <xf numFmtId="0" fontId="40" fillId="4" borderId="5" xfId="0" applyFont="1" applyFill="1" applyBorder="1" applyAlignment="1">
      <alignment horizontal="left" vertical="top" wrapText="1"/>
    </xf>
    <xf numFmtId="0" fontId="40" fillId="4" borderId="3" xfId="0" applyFont="1" applyFill="1" applyBorder="1" applyAlignment="1">
      <alignment horizontal="left" vertical="top" wrapText="1"/>
    </xf>
    <xf numFmtId="2" fontId="40" fillId="4" borderId="5" xfId="2" applyNumberFormat="1" applyFont="1" applyFill="1" applyBorder="1" applyAlignment="1">
      <alignment horizontal="center" vertical="center" wrapText="1"/>
    </xf>
    <xf numFmtId="2" fontId="40" fillId="4" borderId="3" xfId="2" applyNumberFormat="1" applyFont="1" applyFill="1" applyBorder="1" applyAlignment="1">
      <alignment horizontal="center" vertical="center" wrapText="1"/>
    </xf>
    <xf numFmtId="2" fontId="40" fillId="4" borderId="5" xfId="2" applyNumberFormat="1" applyFont="1" applyFill="1" applyBorder="1" applyAlignment="1">
      <alignment horizontal="center" vertical="top" wrapText="1"/>
    </xf>
    <xf numFmtId="2" fontId="40" fillId="4" borderId="3" xfId="2" applyNumberFormat="1" applyFont="1" applyFill="1" applyBorder="1" applyAlignment="1">
      <alignment horizontal="center" vertical="top" wrapText="1"/>
    </xf>
    <xf numFmtId="2" fontId="40" fillId="4" borderId="3" xfId="0" applyNumberFormat="1" applyFont="1" applyFill="1" applyBorder="1" applyAlignment="1">
      <alignment horizontal="center" vertical="center" wrapText="1"/>
    </xf>
    <xf numFmtId="0" fontId="38" fillId="0" borderId="1" xfId="3" applyFont="1" applyBorder="1" applyAlignment="1">
      <alignment horizontal="center" vertical="center" wrapText="1"/>
    </xf>
    <xf numFmtId="0" fontId="49" fillId="4" borderId="1" xfId="0" applyFont="1" applyFill="1" applyBorder="1" applyAlignment="1">
      <alignment horizontal="left" vertical="top" wrapText="1"/>
    </xf>
    <xf numFmtId="0" fontId="36" fillId="2" borderId="1" xfId="0" applyFont="1" applyFill="1" applyBorder="1" applyAlignment="1">
      <alignment horizontal="left" vertical="top" wrapText="1"/>
    </xf>
    <xf numFmtId="2" fontId="37" fillId="0" borderId="5" xfId="0" applyNumberFormat="1" applyFont="1" applyFill="1" applyBorder="1" applyAlignment="1">
      <alignment horizontal="center" vertical="top" wrapText="1"/>
    </xf>
    <xf numFmtId="2" fontId="37" fillId="0" borderId="3" xfId="0" applyNumberFormat="1" applyFont="1" applyFill="1" applyBorder="1" applyAlignment="1">
      <alignment horizontal="center" vertical="top" wrapText="1"/>
    </xf>
    <xf numFmtId="2" fontId="37" fillId="0" borderId="2" xfId="0" applyNumberFormat="1" applyFont="1" applyFill="1" applyBorder="1" applyAlignment="1">
      <alignment horizontal="center" vertical="top" wrapText="1"/>
    </xf>
    <xf numFmtId="0" fontId="49" fillId="4" borderId="5" xfId="0" applyFont="1" applyFill="1" applyBorder="1" applyAlignment="1">
      <alignment vertical="top" wrapText="1"/>
    </xf>
    <xf numFmtId="0" fontId="49" fillId="4" borderId="3" xfId="0" applyFont="1" applyFill="1" applyBorder="1" applyAlignment="1">
      <alignment vertical="top" wrapText="1"/>
    </xf>
    <xf numFmtId="0" fontId="49" fillId="4" borderId="2" xfId="0" applyFont="1" applyFill="1" applyBorder="1" applyAlignment="1">
      <alignment vertical="top" wrapText="1"/>
    </xf>
    <xf numFmtId="0" fontId="1" fillId="4" borderId="5" xfId="0" applyFont="1" applyFill="1" applyBorder="1" applyAlignment="1">
      <alignment horizontal="center" vertical="top" wrapText="1"/>
    </xf>
    <xf numFmtId="0" fontId="1" fillId="4" borderId="3" xfId="0" applyFont="1" applyFill="1" applyBorder="1" applyAlignment="1">
      <alignment horizontal="center" vertical="top" wrapText="1"/>
    </xf>
    <xf numFmtId="0" fontId="1" fillId="4" borderId="2" xfId="0" applyFont="1" applyFill="1" applyBorder="1" applyAlignment="1">
      <alignment horizontal="center" vertical="top" wrapText="1"/>
    </xf>
    <xf numFmtId="0" fontId="34" fillId="4" borderId="5" xfId="0" applyFont="1" applyFill="1" applyBorder="1" applyAlignment="1">
      <alignment horizontal="left" vertical="top" wrapText="1"/>
    </xf>
    <xf numFmtId="0" fontId="34" fillId="4" borderId="3" xfId="0" applyFont="1" applyFill="1" applyBorder="1" applyAlignment="1">
      <alignment horizontal="left" vertical="top" wrapText="1"/>
    </xf>
    <xf numFmtId="0" fontId="34" fillId="4" borderId="2" xfId="0" applyFont="1" applyFill="1" applyBorder="1" applyAlignment="1">
      <alignment horizontal="left" vertical="top" wrapText="1"/>
    </xf>
    <xf numFmtId="2" fontId="1" fillId="4" borderId="5" xfId="0" applyNumberFormat="1" applyFont="1" applyFill="1" applyBorder="1" applyAlignment="1">
      <alignment horizontal="center" vertical="top" wrapText="1"/>
    </xf>
    <xf numFmtId="2" fontId="1" fillId="4" borderId="3" xfId="0" applyNumberFormat="1" applyFont="1" applyFill="1" applyBorder="1" applyAlignment="1">
      <alignment horizontal="center" vertical="top" wrapText="1"/>
    </xf>
    <xf numFmtId="2" fontId="1" fillId="4" borderId="2" xfId="0" applyNumberFormat="1" applyFont="1" applyFill="1" applyBorder="1" applyAlignment="1">
      <alignment horizontal="center" vertical="top" wrapText="1"/>
    </xf>
    <xf numFmtId="0" fontId="80" fillId="4" borderId="5" xfId="0" applyFont="1" applyFill="1" applyBorder="1" applyAlignment="1">
      <alignment horizontal="left" vertical="top" wrapText="1"/>
    </xf>
    <xf numFmtId="0" fontId="80" fillId="4" borderId="3" xfId="0" applyFont="1" applyFill="1" applyBorder="1" applyAlignment="1">
      <alignment horizontal="left" vertical="top" wrapText="1"/>
    </xf>
    <xf numFmtId="0" fontId="80" fillId="4" borderId="2" xfId="0" applyFont="1" applyFill="1" applyBorder="1" applyAlignment="1">
      <alignment horizontal="left" vertical="top" wrapText="1"/>
    </xf>
    <xf numFmtId="0" fontId="80" fillId="0" borderId="0" xfId="0" applyFont="1" applyAlignment="1">
      <alignment horizontal="center" vertical="top" wrapText="1"/>
    </xf>
    <xf numFmtId="0" fontId="40" fillId="0" borderId="1" xfId="0" applyFont="1" applyFill="1" applyBorder="1" applyAlignment="1">
      <alignment horizontal="left" vertical="top" wrapText="1"/>
    </xf>
    <xf numFmtId="0" fontId="1" fillId="0" borderId="5"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Fill="1" applyBorder="1" applyAlignment="1">
      <alignment horizontal="center" vertical="top"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9" fillId="0" borderId="1" xfId="0" applyFont="1" applyBorder="1" applyAlignment="1">
      <alignment horizontal="center" vertical="top"/>
    </xf>
    <xf numFmtId="0" fontId="19" fillId="0" borderId="1" xfId="0" applyFont="1" applyBorder="1" applyAlignment="1">
      <alignment horizontal="center" vertical="top" wrapText="1"/>
    </xf>
    <xf numFmtId="0" fontId="17" fillId="0" borderId="1" xfId="0" applyFont="1" applyBorder="1" applyAlignment="1">
      <alignment horizontal="center" vertical="top"/>
    </xf>
    <xf numFmtId="0" fontId="19" fillId="0" borderId="5" xfId="0" applyFont="1" applyBorder="1" applyAlignment="1">
      <alignment horizontal="center" vertical="top"/>
    </xf>
    <xf numFmtId="0" fontId="19" fillId="0" borderId="3" xfId="0" applyFont="1" applyBorder="1" applyAlignment="1">
      <alignment horizontal="center" vertical="top"/>
    </xf>
    <xf numFmtId="0" fontId="19" fillId="0" borderId="5" xfId="0" applyFont="1" applyBorder="1" applyAlignment="1">
      <alignment horizontal="center" vertical="top" wrapText="1"/>
    </xf>
    <xf numFmtId="0" fontId="19" fillId="0" borderId="3" xfId="0" applyFont="1" applyBorder="1" applyAlignment="1">
      <alignment horizontal="center" vertical="top" wrapText="1"/>
    </xf>
    <xf numFmtId="0" fontId="17" fillId="0" borderId="5" xfId="0" applyFont="1" applyBorder="1" applyAlignment="1">
      <alignment horizontal="center" vertical="top"/>
    </xf>
    <xf numFmtId="0" fontId="17" fillId="0" borderId="3" xfId="0" applyFont="1" applyBorder="1" applyAlignment="1">
      <alignment horizontal="center" vertical="top"/>
    </xf>
    <xf numFmtId="2" fontId="37" fillId="6" borderId="1" xfId="0" applyNumberFormat="1" applyFont="1" applyFill="1" applyBorder="1" applyAlignment="1">
      <alignment horizontal="center" vertical="top" wrapText="1"/>
    </xf>
    <xf numFmtId="0" fontId="54" fillId="2" borderId="1" xfId="0" applyFont="1" applyFill="1" applyBorder="1" applyAlignment="1">
      <alignment horizontal="left"/>
    </xf>
    <xf numFmtId="0" fontId="37" fillId="0" borderId="5" xfId="0" applyFont="1" applyBorder="1" applyAlignment="1">
      <alignment horizontal="left" vertical="top" wrapText="1"/>
    </xf>
    <xf numFmtId="0" fontId="37" fillId="0" borderId="3" xfId="0" applyFont="1" applyBorder="1" applyAlignment="1">
      <alignment horizontal="left" vertical="top" wrapText="1"/>
    </xf>
    <xf numFmtId="0" fontId="37" fillId="0" borderId="2" xfId="0" applyFont="1" applyBorder="1" applyAlignment="1">
      <alignment horizontal="left" vertical="top" wrapText="1"/>
    </xf>
    <xf numFmtId="2" fontId="37" fillId="0" borderId="5" xfId="0" applyNumberFormat="1" applyFont="1" applyBorder="1" applyAlignment="1">
      <alignment horizontal="center" vertical="top" wrapText="1"/>
    </xf>
    <xf numFmtId="2" fontId="37" fillId="0" borderId="3" xfId="0" applyNumberFormat="1" applyFont="1" applyBorder="1" applyAlignment="1">
      <alignment horizontal="center" vertical="top" wrapText="1"/>
    </xf>
    <xf numFmtId="2" fontId="37" fillId="0" borderId="2" xfId="0" applyNumberFormat="1" applyFont="1" applyBorder="1" applyAlignment="1">
      <alignment horizontal="center" vertical="top" wrapText="1"/>
    </xf>
    <xf numFmtId="0" fontId="7" fillId="0" borderId="0" xfId="0" applyFont="1" applyAlignment="1">
      <alignment horizontal="center" vertical="top" wrapText="1"/>
    </xf>
    <xf numFmtId="0" fontId="7" fillId="4" borderId="0" xfId="0" applyFont="1" applyFill="1" applyAlignment="1">
      <alignment horizontal="center" vertical="top" wrapText="1"/>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1" fillId="0" borderId="13" xfId="0" applyFont="1" applyBorder="1" applyAlignment="1">
      <alignment horizontal="center" vertical="center"/>
    </xf>
    <xf numFmtId="0" fontId="1" fillId="0" borderId="9" xfId="0" applyFont="1" applyBorder="1" applyAlignment="1">
      <alignment horizontal="center" vertical="center"/>
    </xf>
    <xf numFmtId="0" fontId="5" fillId="2" borderId="1" xfId="0" applyFont="1" applyFill="1" applyBorder="1" applyAlignment="1">
      <alignment horizontal="center" vertical="center"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49" fontId="1" fillId="0" borderId="8"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5" fillId="2" borderId="13" xfId="0"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2" borderId="14"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0" xfId="0" applyFont="1" applyAlignment="1">
      <alignment horizontal="center"/>
    </xf>
    <xf numFmtId="0" fontId="5" fillId="0" borderId="1" xfId="0" applyFont="1" applyBorder="1" applyAlignment="1">
      <alignment horizontal="center" vertical="center"/>
    </xf>
    <xf numFmtId="0" fontId="5" fillId="0" borderId="13" xfId="0" applyFont="1" applyBorder="1" applyAlignment="1">
      <alignment horizontal="center" vertical="top" wrapText="1"/>
    </xf>
    <xf numFmtId="0" fontId="6" fillId="0" borderId="14" xfId="0" applyFont="1" applyBorder="1" applyAlignment="1">
      <alignment horizontal="center"/>
    </xf>
    <xf numFmtId="0" fontId="5" fillId="0" borderId="8" xfId="0" applyFont="1" applyBorder="1" applyAlignment="1">
      <alignment horizontal="left" vertical="top" wrapText="1"/>
    </xf>
    <xf numFmtId="0" fontId="5" fillId="0" borderId="11" xfId="0" applyFont="1" applyBorder="1" applyAlignment="1">
      <alignment horizontal="left" vertical="top" wrapText="1"/>
    </xf>
    <xf numFmtId="0" fontId="1" fillId="0" borderId="8" xfId="0" applyFont="1" applyBorder="1" applyAlignment="1">
      <alignment horizontal="center" vertical="top" wrapText="1"/>
    </xf>
    <xf numFmtId="0" fontId="1" fillId="0" borderId="11" xfId="0" applyFont="1" applyBorder="1" applyAlignment="1">
      <alignment horizontal="center" vertical="top" wrapText="1"/>
    </xf>
    <xf numFmtId="0" fontId="5" fillId="0" borderId="15" xfId="0" applyFont="1" applyBorder="1" applyAlignment="1">
      <alignment horizontal="left" vertical="top" wrapText="1"/>
    </xf>
    <xf numFmtId="49" fontId="1" fillId="0" borderId="0" xfId="0" applyNumberFormat="1" applyFont="1" applyBorder="1" applyAlignment="1">
      <alignment horizontal="center"/>
    </xf>
    <xf numFmtId="49" fontId="1" fillId="0" borderId="11" xfId="0" applyNumberFormat="1" applyFont="1" applyBorder="1" applyAlignment="1">
      <alignment horizont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5" fillId="2" borderId="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left" vertical="center"/>
    </xf>
    <xf numFmtId="0" fontId="1" fillId="0" borderId="3" xfId="0" applyFont="1" applyBorder="1" applyAlignment="1">
      <alignment horizontal="left" vertical="top" wrapText="1"/>
    </xf>
    <xf numFmtId="0" fontId="5" fillId="2" borderId="13"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4" xfId="0" applyFont="1" applyFill="1" applyBorder="1" applyAlignment="1">
      <alignment horizontal="left" vertical="center"/>
    </xf>
    <xf numFmtId="0" fontId="5" fillId="2" borderId="12" xfId="0" applyFont="1" applyFill="1" applyBorder="1" applyAlignment="1">
      <alignment horizontal="left" vertical="center"/>
    </xf>
    <xf numFmtId="0" fontId="1" fillId="0" borderId="14" xfId="0" applyFont="1" applyBorder="1" applyAlignment="1">
      <alignment horizontal="left" vertical="center"/>
    </xf>
    <xf numFmtId="0" fontId="1" fillId="0" borderId="12" xfId="0" applyFont="1" applyBorder="1" applyAlignment="1">
      <alignment horizontal="left"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5" fillId="0" borderId="0" xfId="0" applyFont="1" applyBorder="1" applyAlignment="1">
      <alignment horizontal="left" vertical="top"/>
    </xf>
    <xf numFmtId="0" fontId="5" fillId="0" borderId="11" xfId="0" applyFont="1" applyBorder="1" applyAlignment="1">
      <alignment horizontal="left" vertical="top"/>
    </xf>
    <xf numFmtId="0" fontId="5" fillId="0" borderId="13" xfId="0" applyFont="1" applyBorder="1" applyAlignment="1">
      <alignment horizontal="left" wrapText="1"/>
    </xf>
    <xf numFmtId="0" fontId="5" fillId="0" borderId="14" xfId="0" applyFont="1" applyBorder="1" applyAlignment="1">
      <alignment horizontal="left" wrapText="1"/>
    </xf>
    <xf numFmtId="0" fontId="1" fillId="0" borderId="8" xfId="0" applyFont="1" applyBorder="1" applyAlignment="1">
      <alignment horizontal="center" wrapText="1"/>
    </xf>
    <xf numFmtId="0" fontId="1" fillId="0" borderId="11" xfId="0" applyFont="1" applyBorder="1" applyAlignment="1">
      <alignment horizontal="center" wrapText="1"/>
    </xf>
    <xf numFmtId="0" fontId="1" fillId="0" borderId="13" xfId="0" applyFont="1" applyBorder="1" applyAlignment="1">
      <alignment horizontal="left" vertical="top" wrapText="1"/>
    </xf>
    <xf numFmtId="0" fontId="5" fillId="0" borderId="0" xfId="0" applyFont="1" applyAlignment="1">
      <alignment horizontal="center" wrapText="1"/>
    </xf>
    <xf numFmtId="49" fontId="1" fillId="0" borderId="0" xfId="0" applyNumberFormat="1" applyFont="1" applyBorder="1" applyAlignment="1">
      <alignment horizontal="center" vertical="top" wrapText="1"/>
    </xf>
    <xf numFmtId="0" fontId="1" fillId="0" borderId="9" xfId="0" applyFont="1" applyBorder="1" applyAlignment="1">
      <alignment horizontal="left" vertical="top" wrapText="1"/>
    </xf>
    <xf numFmtId="0" fontId="1" fillId="0" borderId="14" xfId="0" applyFont="1" applyBorder="1"/>
    <xf numFmtId="0" fontId="1" fillId="0" borderId="0" xfId="0" applyFont="1" applyBorder="1" applyAlignment="1">
      <alignment horizontal="center" vertical="center" wrapText="1"/>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8" xfId="0" applyFont="1" applyBorder="1" applyAlignment="1">
      <alignment horizontal="left" vertical="top"/>
    </xf>
    <xf numFmtId="0" fontId="1" fillId="0" borderId="8" xfId="0" applyFont="1" applyBorder="1" applyAlignment="1">
      <alignment horizontal="left" vertical="top" wrapText="1"/>
    </xf>
    <xf numFmtId="0" fontId="1" fillId="0" borderId="11" xfId="0" applyFont="1" applyBorder="1" applyAlignment="1">
      <alignment horizontal="left" vertical="top" wrapText="1"/>
    </xf>
    <xf numFmtId="0" fontId="6" fillId="0" borderId="14" xfId="0" applyFont="1" applyBorder="1"/>
    <xf numFmtId="0" fontId="5" fillId="5" borderId="13" xfId="0" applyFont="1" applyFill="1" applyBorder="1" applyAlignment="1">
      <alignment horizontal="left" wrapText="1"/>
    </xf>
    <xf numFmtId="0" fontId="5" fillId="5" borderId="14" xfId="0" applyFont="1" applyFill="1" applyBorder="1" applyAlignment="1">
      <alignment horizontal="left" wrapText="1"/>
    </xf>
    <xf numFmtId="0" fontId="5" fillId="5" borderId="5"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2" xfId="0" applyFont="1" applyFill="1" applyBorder="1" applyAlignment="1">
      <alignment horizontal="center" vertical="center"/>
    </xf>
    <xf numFmtId="0" fontId="1" fillId="5" borderId="8"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5" fillId="0" borderId="0" xfId="0" applyFont="1" applyAlignment="1">
      <alignment horizontal="left" wrapText="1"/>
    </xf>
    <xf numFmtId="0" fontId="6" fillId="0" borderId="11" xfId="0" applyFont="1" applyBorder="1" applyAlignment="1">
      <alignment horizontal="left"/>
    </xf>
    <xf numFmtId="0" fontId="6" fillId="0" borderId="8" xfId="0" applyFont="1" applyBorder="1" applyAlignment="1">
      <alignment horizontal="left"/>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11" xfId="0" applyFont="1" applyBorder="1" applyAlignment="1">
      <alignment horizontal="left" vertical="center"/>
    </xf>
    <xf numFmtId="0" fontId="1" fillId="0" borderId="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 fillId="8" borderId="6" xfId="0" applyFont="1" applyFill="1" applyBorder="1" applyAlignment="1">
      <alignment horizontal="left" vertical="center"/>
    </xf>
    <xf numFmtId="0" fontId="5" fillId="8" borderId="7" xfId="0" applyFont="1" applyFill="1" applyBorder="1" applyAlignment="1">
      <alignment horizontal="left" vertical="center"/>
    </xf>
    <xf numFmtId="0" fontId="5" fillId="8" borderId="4" xfId="0" applyFont="1" applyFill="1" applyBorder="1" applyAlignment="1">
      <alignment horizontal="left"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73" fillId="0" borderId="5" xfId="0" applyFont="1" applyBorder="1" applyAlignment="1">
      <alignment horizontal="left" vertical="center" wrapText="1"/>
    </xf>
    <xf numFmtId="0" fontId="73" fillId="0" borderId="3" xfId="0" applyFont="1" applyBorder="1" applyAlignment="1">
      <alignment horizontal="left" vertical="center" wrapText="1"/>
    </xf>
    <xf numFmtId="0" fontId="73" fillId="0" borderId="2" xfId="0" applyFont="1" applyBorder="1" applyAlignment="1">
      <alignment horizontal="left" vertical="center" wrapText="1"/>
    </xf>
    <xf numFmtId="0" fontId="1" fillId="0" borderId="8"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0" borderId="15" xfId="0" applyFont="1" applyBorder="1" applyAlignment="1">
      <alignment vertical="center" wrapText="1"/>
    </xf>
    <xf numFmtId="0" fontId="1" fillId="0" borderId="10" xfId="0" applyFont="1" applyBorder="1" applyAlignment="1">
      <alignment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wrapText="1"/>
    </xf>
    <xf numFmtId="0" fontId="5" fillId="0" borderId="0" xfId="0" applyFont="1" applyAlignment="1">
      <alignment horizontal="center" vertical="center"/>
    </xf>
    <xf numFmtId="0" fontId="5" fillId="0" borderId="0" xfId="0" applyFont="1" applyFill="1" applyAlignment="1">
      <alignment horizontal="center" vertical="center" wrapText="1"/>
    </xf>
    <xf numFmtId="0" fontId="24" fillId="0" borderId="0" xfId="0" applyFont="1" applyAlignment="1">
      <alignment horizontal="center" vertical="center"/>
    </xf>
    <xf numFmtId="0" fontId="24" fillId="0" borderId="0" xfId="0" applyFont="1" applyFill="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5" xfId="0" applyFont="1" applyBorder="1" applyAlignment="1">
      <alignment horizontal="center" vertical="center"/>
    </xf>
    <xf numFmtId="0" fontId="24" fillId="0" borderId="3" xfId="0" applyFont="1" applyBorder="1" applyAlignment="1">
      <alignment horizontal="center" vertical="center"/>
    </xf>
    <xf numFmtId="0" fontId="24" fillId="0" borderId="2" xfId="0" applyFont="1" applyBorder="1" applyAlignment="1">
      <alignment horizontal="center" vertical="center"/>
    </xf>
    <xf numFmtId="0" fontId="24" fillId="0" borderId="8" xfId="0" applyFont="1" applyBorder="1" applyAlignment="1">
      <alignment horizontal="center" vertical="center" wrapText="1"/>
    </xf>
    <xf numFmtId="0" fontId="24" fillId="0" borderId="11" xfId="0" applyFont="1" applyBorder="1" applyAlignment="1">
      <alignment horizontal="center" vertical="center" wrapText="1"/>
    </xf>
    <xf numFmtId="0" fontId="26" fillId="0" borderId="13"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6" fillId="0" borderId="8" xfId="0" applyFont="1" applyBorder="1" applyAlignment="1">
      <alignment horizontal="center" vertical="center" wrapText="1"/>
    </xf>
    <xf numFmtId="0" fontId="26" fillId="0" borderId="0" xfId="0" applyFont="1" applyBorder="1" applyAlignment="1">
      <alignment horizontal="center" vertical="center" wrapText="1"/>
    </xf>
    <xf numFmtId="0" fontId="24" fillId="0" borderId="13" xfId="0" applyFont="1" applyBorder="1" applyAlignment="1">
      <alignment horizontal="center" vertical="center"/>
    </xf>
    <xf numFmtId="0" fontId="24" fillId="0" borderId="8" xfId="0" applyFont="1" applyBorder="1" applyAlignment="1">
      <alignment horizontal="center" vertical="center"/>
    </xf>
    <xf numFmtId="0" fontId="26" fillId="0" borderId="14"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1" xfId="0" applyFont="1" applyBorder="1" applyAlignment="1">
      <alignment horizontal="center" vertical="center" wrapText="1"/>
    </xf>
    <xf numFmtId="0" fontId="26" fillId="0" borderId="15" xfId="0" applyFont="1" applyBorder="1" applyAlignment="1">
      <alignment vertical="center" wrapText="1"/>
    </xf>
    <xf numFmtId="0" fontId="26" fillId="0" borderId="10" xfId="0" applyFont="1" applyBorder="1" applyAlignment="1">
      <alignment vertical="center" wrapText="1"/>
    </xf>
    <xf numFmtId="0" fontId="26" fillId="0" borderId="1" xfId="0" applyFont="1" applyBorder="1" applyAlignment="1">
      <alignment horizontal="center" vertical="center"/>
    </xf>
    <xf numFmtId="0" fontId="24" fillId="0" borderId="15" xfId="0" applyFont="1" applyBorder="1" applyAlignment="1">
      <alignment horizontal="center" vertical="center" wrapText="1"/>
    </xf>
    <xf numFmtId="0" fontId="24" fillId="0" borderId="0" xfId="0" applyFont="1" applyBorder="1" applyAlignment="1">
      <alignment horizontal="center" vertical="center" wrapText="1"/>
    </xf>
    <xf numFmtId="0" fontId="26" fillId="0" borderId="14" xfId="0" applyFont="1" applyBorder="1" applyAlignment="1">
      <alignment horizontal="left" vertical="center"/>
    </xf>
    <xf numFmtId="0" fontId="26" fillId="0" borderId="11" xfId="0" applyFont="1" applyBorder="1" applyAlignment="1">
      <alignment horizontal="left" vertical="center"/>
    </xf>
    <xf numFmtId="0" fontId="24" fillId="0" borderId="9" xfId="0" applyFont="1" applyBorder="1" applyAlignment="1">
      <alignment horizontal="center" vertical="center"/>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11" xfId="0" applyFont="1" applyBorder="1" applyAlignment="1">
      <alignment horizontal="center" vertical="center" wrapText="1"/>
    </xf>
    <xf numFmtId="0" fontId="26" fillId="0" borderId="12" xfId="0" applyFont="1" applyBorder="1" applyAlignment="1">
      <alignment horizontal="left" vertical="center"/>
    </xf>
    <xf numFmtId="0" fontId="26" fillId="0" borderId="8" xfId="0" applyFont="1" applyFill="1" applyBorder="1" applyAlignment="1">
      <alignment horizontal="center" vertical="top" wrapText="1"/>
    </xf>
    <xf numFmtId="0" fontId="26" fillId="0" borderId="11" xfId="0" applyFont="1" applyFill="1" applyBorder="1" applyAlignment="1">
      <alignment horizontal="center" vertical="top" wrapText="1"/>
    </xf>
    <xf numFmtId="0" fontId="24" fillId="0" borderId="6" xfId="0" applyFont="1" applyBorder="1" applyAlignment="1">
      <alignment horizontal="center" vertical="center"/>
    </xf>
    <xf numFmtId="0" fontId="26" fillId="0" borderId="8"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 xfId="0" applyFont="1" applyBorder="1" applyAlignment="1">
      <alignment horizontal="left" vertical="center"/>
    </xf>
    <xf numFmtId="0" fontId="26" fillId="0" borderId="5" xfId="0" applyFont="1" applyBorder="1" applyAlignment="1">
      <alignment horizontal="left" vertical="top" wrapText="1"/>
    </xf>
    <xf numFmtId="0" fontId="26" fillId="0" borderId="3" xfId="0" applyFont="1" applyBorder="1" applyAlignment="1">
      <alignment horizontal="left" vertical="top" wrapText="1"/>
    </xf>
    <xf numFmtId="0" fontId="26" fillId="0" borderId="2" xfId="0" applyFont="1" applyBorder="1" applyAlignment="1">
      <alignment horizontal="left" vertical="top" wrapText="1"/>
    </xf>
    <xf numFmtId="0" fontId="24" fillId="8" borderId="1" xfId="0" applyFont="1" applyFill="1" applyBorder="1" applyAlignment="1">
      <alignment horizontal="left" vertical="center"/>
    </xf>
    <xf numFmtId="0" fontId="26" fillId="0" borderId="15" xfId="0" applyFont="1" applyBorder="1" applyAlignment="1">
      <alignment horizontal="left" vertical="top" wrapText="1"/>
    </xf>
    <xf numFmtId="0" fontId="26" fillId="0" borderId="10" xfId="0" applyFont="1" applyBorder="1" applyAlignment="1">
      <alignment horizontal="left"/>
    </xf>
    <xf numFmtId="0" fontId="26" fillId="0" borderId="1" xfId="0" applyFont="1" applyBorder="1" applyAlignment="1">
      <alignment horizontal="right" vertical="center"/>
    </xf>
    <xf numFmtId="0" fontId="5" fillId="4" borderId="5" xfId="0" applyFont="1" applyFill="1"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lignment horizontal="center" vertical="top" wrapText="1"/>
    </xf>
    <xf numFmtId="0" fontId="89" fillId="0" borderId="5" xfId="0" applyFont="1" applyBorder="1" applyAlignment="1">
      <alignment vertical="top" wrapText="1"/>
    </xf>
    <xf numFmtId="0" fontId="0" fillId="0" borderId="3" xfId="0" applyBorder="1" applyAlignment="1">
      <alignment vertical="top" wrapText="1"/>
    </xf>
    <xf numFmtId="0" fontId="0" fillId="0" borderId="2" xfId="0" applyBorder="1" applyAlignment="1">
      <alignment vertical="top" wrapText="1"/>
    </xf>
    <xf numFmtId="0" fontId="2" fillId="4" borderId="5" xfId="0" applyFont="1" applyFill="1" applyBorder="1" applyAlignment="1">
      <alignment horizontal="center" vertical="top" wrapText="1"/>
    </xf>
    <xf numFmtId="0" fontId="81" fillId="0" borderId="5" xfId="0" applyFont="1" applyBorder="1" applyAlignment="1">
      <alignment vertical="top" wrapText="1"/>
    </xf>
    <xf numFmtId="0" fontId="5" fillId="4" borderId="3" xfId="0" applyFont="1" applyFill="1" applyBorder="1" applyAlignment="1">
      <alignment horizontal="center" vertical="top" wrapText="1"/>
    </xf>
    <xf numFmtId="0" fontId="5" fillId="4" borderId="2" xfId="0" applyFont="1" applyFill="1" applyBorder="1" applyAlignment="1">
      <alignment horizontal="center" vertical="top" wrapText="1"/>
    </xf>
    <xf numFmtId="0" fontId="89" fillId="0" borderId="3" xfId="0" applyFont="1" applyBorder="1" applyAlignment="1">
      <alignment vertical="top" wrapText="1"/>
    </xf>
    <xf numFmtId="0" fontId="89" fillId="0" borderId="2" xfId="0" applyFont="1" applyBorder="1" applyAlignment="1">
      <alignment vertical="top" wrapText="1"/>
    </xf>
    <xf numFmtId="0" fontId="19" fillId="4" borderId="5" xfId="0" applyFont="1" applyFill="1" applyBorder="1" applyAlignment="1">
      <alignment vertical="top" wrapText="1"/>
    </xf>
    <xf numFmtId="0" fontId="79" fillId="0" borderId="2" xfId="0" applyFont="1" applyBorder="1" applyAlignment="1">
      <alignment vertical="top" wrapText="1"/>
    </xf>
    <xf numFmtId="0" fontId="90" fillId="12" borderId="6" xfId="0" applyFont="1" applyFill="1" applyBorder="1" applyAlignment="1">
      <alignment horizontal="center" vertical="center"/>
    </xf>
    <xf numFmtId="0" fontId="90" fillId="12" borderId="7" xfId="0" applyFont="1" applyFill="1" applyBorder="1" applyAlignment="1">
      <alignment horizontal="center" vertical="center"/>
    </xf>
    <xf numFmtId="0" fontId="94" fillId="0" borderId="14" xfId="0" applyFont="1" applyBorder="1" applyAlignment="1">
      <alignment horizontal="center" vertical="center" wrapText="1"/>
    </xf>
    <xf numFmtId="0" fontId="94" fillId="0" borderId="11" xfId="0" applyFont="1" applyBorder="1" applyAlignment="1">
      <alignment horizontal="center" vertical="center" wrapText="1"/>
    </xf>
    <xf numFmtId="2" fontId="81" fillId="12" borderId="5" xfId="0" applyNumberFormat="1" applyFont="1" applyFill="1" applyBorder="1" applyAlignment="1">
      <alignment horizontal="center" vertical="center" wrapText="1"/>
    </xf>
    <xf numFmtId="2" fontId="81" fillId="12" borderId="3" xfId="0" applyNumberFormat="1" applyFont="1" applyFill="1" applyBorder="1" applyAlignment="1">
      <alignment horizontal="center" vertical="center" wrapText="1"/>
    </xf>
    <xf numFmtId="0" fontId="94" fillId="0" borderId="1" xfId="0" applyFont="1" applyBorder="1" applyAlignment="1">
      <alignment horizontal="center" vertical="center" wrapText="1"/>
    </xf>
    <xf numFmtId="2" fontId="81" fillId="12" borderId="1" xfId="0" applyNumberFormat="1" applyFont="1" applyFill="1" applyBorder="1" applyAlignment="1">
      <alignment horizontal="center" vertical="center" wrapText="1"/>
    </xf>
    <xf numFmtId="0" fontId="0" fillId="0" borderId="0" xfId="0"/>
    <xf numFmtId="0" fontId="94" fillId="12" borderId="5" xfId="0" applyFont="1" applyFill="1" applyBorder="1" applyAlignment="1">
      <alignment horizontal="center" vertical="center" wrapText="1"/>
    </xf>
    <xf numFmtId="0" fontId="94" fillId="0" borderId="5" xfId="0" applyFont="1" applyBorder="1" applyAlignment="1">
      <alignment horizontal="center" vertical="center" wrapText="1"/>
    </xf>
    <xf numFmtId="0" fontId="102" fillId="0" borderId="5" xfId="0" applyFont="1" applyBorder="1" applyAlignment="1">
      <alignment horizontal="center" vertical="center" wrapText="1"/>
    </xf>
    <xf numFmtId="0" fontId="102" fillId="0" borderId="3" xfId="0" applyFont="1" applyBorder="1" applyAlignment="1">
      <alignment horizontal="center" vertical="center" wrapText="1"/>
    </xf>
    <xf numFmtId="0" fontId="94" fillId="0" borderId="3" xfId="0" applyFont="1" applyBorder="1" applyAlignment="1">
      <alignment horizontal="center" vertical="center" wrapText="1"/>
    </xf>
    <xf numFmtId="2" fontId="100" fillId="12" borderId="1" xfId="0" applyNumberFormat="1" applyFont="1" applyFill="1" applyBorder="1" applyAlignment="1">
      <alignment horizontal="center" vertical="center" wrapText="1"/>
    </xf>
    <xf numFmtId="2" fontId="104" fillId="12" borderId="5" xfId="0" applyNumberFormat="1" applyFont="1" applyFill="1" applyBorder="1" applyAlignment="1">
      <alignment horizontal="center" vertical="center" wrapText="1"/>
    </xf>
    <xf numFmtId="2" fontId="104" fillId="12" borderId="3" xfId="0" applyNumberFormat="1" applyFont="1" applyFill="1" applyBorder="1" applyAlignment="1">
      <alignment horizontal="center" vertical="center" wrapText="1"/>
    </xf>
    <xf numFmtId="2" fontId="104" fillId="12" borderId="2" xfId="0" applyNumberFormat="1" applyFont="1" applyFill="1" applyBorder="1" applyAlignment="1">
      <alignment horizontal="center" vertical="center" wrapText="1"/>
    </xf>
    <xf numFmtId="0" fontId="90" fillId="12" borderId="6" xfId="0" applyFont="1" applyFill="1" applyBorder="1" applyAlignment="1">
      <alignment horizontal="center" wrapText="1"/>
    </xf>
    <xf numFmtId="0" fontId="90" fillId="12" borderId="7" xfId="0" applyFont="1" applyFill="1" applyBorder="1" applyAlignment="1">
      <alignment horizontal="center" wrapText="1"/>
    </xf>
    <xf numFmtId="0" fontId="93" fillId="0" borderId="1" xfId="0" applyFont="1" applyBorder="1" applyAlignment="1">
      <alignment horizontal="center" vertical="top" wrapText="1"/>
    </xf>
    <xf numFmtId="0" fontId="103" fillId="0" borderId="1" xfId="0" applyFont="1" applyBorder="1" applyAlignment="1">
      <alignment horizontal="center" vertical="top" wrapText="1"/>
    </xf>
    <xf numFmtId="2" fontId="103" fillId="12" borderId="5" xfId="0" applyNumberFormat="1" applyFont="1" applyFill="1" applyBorder="1" applyAlignment="1">
      <alignment horizontal="center" vertical="center" wrapText="1"/>
    </xf>
    <xf numFmtId="2" fontId="103" fillId="12" borderId="3" xfId="0" applyNumberFormat="1" applyFont="1" applyFill="1" applyBorder="1" applyAlignment="1">
      <alignment horizontal="center" vertical="center" wrapText="1"/>
    </xf>
    <xf numFmtId="2" fontId="92" fillId="12" borderId="5" xfId="0" applyNumberFormat="1" applyFont="1" applyFill="1" applyBorder="1" applyAlignment="1">
      <alignment horizontal="center" vertical="center" wrapText="1"/>
    </xf>
    <xf numFmtId="0" fontId="0" fillId="0" borderId="0" xfId="0" applyAlignment="1">
      <alignment wrapText="1"/>
    </xf>
    <xf numFmtId="0" fontId="60" fillId="0" borderId="5" xfId="0" applyFont="1" applyBorder="1" applyAlignment="1">
      <alignment horizontal="center" vertical="top" wrapText="1"/>
    </xf>
    <xf numFmtId="0" fontId="60" fillId="0" borderId="1" xfId="0" applyFont="1" applyBorder="1" applyAlignment="1">
      <alignment horizontal="left" vertical="top" wrapText="1"/>
    </xf>
    <xf numFmtId="0" fontId="93" fillId="0" borderId="1" xfId="0" applyFont="1" applyBorder="1" applyAlignment="1">
      <alignment horizontal="left" vertical="top" wrapText="1"/>
    </xf>
    <xf numFmtId="0" fontId="93" fillId="0" borderId="1" xfId="0" applyFont="1" applyBorder="1" applyAlignment="1">
      <alignment horizontal="left" wrapText="1"/>
    </xf>
    <xf numFmtId="0" fontId="61" fillId="0" borderId="1" xfId="0" applyFont="1" applyBorder="1" applyAlignment="1">
      <alignment horizontal="left" vertical="top" wrapText="1"/>
    </xf>
    <xf numFmtId="0" fontId="61" fillId="0" borderId="1" xfId="0" applyFont="1" applyBorder="1" applyAlignment="1">
      <alignment horizontal="left" wrapText="1"/>
    </xf>
    <xf numFmtId="0" fontId="93" fillId="12" borderId="1" xfId="0" applyFont="1" applyFill="1" applyBorder="1" applyAlignment="1">
      <alignment horizontal="left" wrapText="1"/>
    </xf>
    <xf numFmtId="2" fontId="104" fillId="12" borderId="1" xfId="0" applyNumberFormat="1" applyFont="1" applyFill="1" applyBorder="1" applyAlignment="1">
      <alignment horizontal="center" vertical="center" wrapText="1"/>
    </xf>
    <xf numFmtId="2" fontId="104" fillId="0" borderId="1" xfId="0" applyNumberFormat="1" applyFont="1" applyBorder="1" applyAlignment="1">
      <alignment horizontal="center" vertical="center" wrapText="1"/>
    </xf>
    <xf numFmtId="2" fontId="105" fillId="0" borderId="1" xfId="0" applyNumberFormat="1" applyFont="1" applyBorder="1" applyAlignment="1">
      <alignment horizontal="center" vertical="center" wrapText="1"/>
    </xf>
    <xf numFmtId="0" fontId="81" fillId="0" borderId="1" xfId="0" applyFont="1" applyBorder="1" applyAlignment="1">
      <alignment horizontal="center" vertical="top" wrapText="1"/>
    </xf>
    <xf numFmtId="0" fontId="75" fillId="0" borderId="1" xfId="0" applyFont="1" applyBorder="1" applyAlignment="1">
      <alignment horizontal="center" vertical="top" wrapText="1"/>
    </xf>
    <xf numFmtId="2" fontId="75" fillId="12" borderId="1" xfId="0" applyNumberFormat="1" applyFont="1" applyFill="1" applyBorder="1" applyAlignment="1">
      <alignment horizontal="center" vertical="top" wrapText="1"/>
    </xf>
    <xf numFmtId="0" fontId="59" fillId="0" borderId="10" xfId="0" applyFont="1" applyBorder="1" applyAlignment="1">
      <alignment horizontal="center" wrapText="1"/>
    </xf>
    <xf numFmtId="0" fontId="90" fillId="0" borderId="10" xfId="0" applyFont="1" applyBorder="1" applyAlignment="1">
      <alignment horizontal="center" wrapText="1"/>
    </xf>
    <xf numFmtId="0" fontId="75" fillId="0" borderId="5" xfId="0" applyFont="1" applyBorder="1" applyAlignment="1">
      <alignment horizontal="center" vertical="top" wrapText="1"/>
    </xf>
    <xf numFmtId="0" fontId="75" fillId="0" borderId="3" xfId="0" applyFont="1" applyBorder="1" applyAlignment="1">
      <alignment horizontal="center" vertical="top" wrapText="1"/>
    </xf>
    <xf numFmtId="0" fontId="75" fillId="0" borderId="2" xfId="0" applyFont="1" applyBorder="1" applyAlignment="1">
      <alignment horizontal="center" vertical="top" wrapText="1"/>
    </xf>
    <xf numFmtId="0" fontId="83" fillId="6" borderId="1" xfId="0" applyFont="1" applyFill="1" applyBorder="1" applyAlignment="1">
      <alignment horizontal="center" vertical="top" wrapText="1"/>
    </xf>
    <xf numFmtId="0" fontId="19" fillId="0" borderId="10" xfId="0" applyFont="1" applyBorder="1" applyAlignment="1">
      <alignment horizontal="center" wrapText="1"/>
    </xf>
    <xf numFmtId="0" fontId="81" fillId="0" borderId="10" xfId="0" applyFont="1" applyBorder="1" applyAlignment="1">
      <alignment horizontal="center" wrapText="1"/>
    </xf>
    <xf numFmtId="2" fontId="83" fillId="6" borderId="1" xfId="0" applyNumberFormat="1" applyFont="1" applyFill="1" applyBorder="1" applyAlignment="1">
      <alignment horizontal="center" vertical="top" wrapText="1"/>
    </xf>
    <xf numFmtId="0" fontId="83" fillId="6" borderId="1" xfId="0" applyFont="1" applyFill="1" applyBorder="1" applyAlignment="1">
      <alignment horizontal="left" vertical="top" wrapText="1"/>
    </xf>
    <xf numFmtId="0" fontId="98" fillId="0" borderId="0" xfId="0" applyFont="1" applyBorder="1" applyAlignment="1">
      <alignment horizontal="center" wrapText="1"/>
    </xf>
    <xf numFmtId="0" fontId="98" fillId="0" borderId="0" xfId="0" applyFont="1" applyBorder="1" applyAlignment="1">
      <alignment horizontal="center"/>
    </xf>
    <xf numFmtId="0" fontId="88" fillId="0" borderId="1" xfId="0" applyFont="1" applyBorder="1" applyAlignment="1">
      <alignment horizontal="center" vertical="top" wrapText="1"/>
    </xf>
    <xf numFmtId="0" fontId="88" fillId="0" borderId="1" xfId="0" applyFont="1" applyBorder="1" applyAlignment="1">
      <alignment horizontal="center" vertical="center" textRotation="90" wrapText="1"/>
    </xf>
    <xf numFmtId="2" fontId="88" fillId="5" borderId="5" xfId="0" applyNumberFormat="1" applyFont="1" applyFill="1" applyBorder="1" applyAlignment="1">
      <alignment horizontal="center" vertical="center" textRotation="90" wrapText="1"/>
    </xf>
    <xf numFmtId="2" fontId="88" fillId="5" borderId="3" xfId="0" applyNumberFormat="1" applyFont="1" applyFill="1" applyBorder="1" applyAlignment="1">
      <alignment horizontal="center" vertical="center" textRotation="90" wrapText="1"/>
    </xf>
    <xf numFmtId="2" fontId="88" fillId="5" borderId="2" xfId="0" applyNumberFormat="1" applyFont="1" applyFill="1" applyBorder="1" applyAlignment="1">
      <alignment horizontal="center" vertical="center" textRotation="90" wrapText="1"/>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xf>
    <xf numFmtId="0" fontId="17" fillId="0" borderId="0" xfId="0" applyFont="1" applyBorder="1" applyAlignment="1">
      <alignment horizontal="center" vertical="top" wrapText="1"/>
    </xf>
    <xf numFmtId="0" fontId="80" fillId="0" borderId="0" xfId="0" applyFont="1" applyBorder="1" applyAlignment="1">
      <alignment horizontal="center" vertical="top" wrapText="1"/>
    </xf>
    <xf numFmtId="0" fontId="44" fillId="0" borderId="5" xfId="0" applyFont="1" applyBorder="1" applyAlignment="1">
      <alignment horizontal="center" vertical="top" wrapText="1"/>
    </xf>
    <xf numFmtId="0" fontId="44" fillId="0" borderId="3" xfId="0" applyFont="1" applyBorder="1" applyAlignment="1">
      <alignment horizontal="center" vertical="top" wrapText="1"/>
    </xf>
    <xf numFmtId="0" fontId="44" fillId="0" borderId="2" xfId="0" applyFont="1" applyBorder="1" applyAlignment="1">
      <alignment horizontal="center" vertical="top" wrapText="1"/>
    </xf>
    <xf numFmtId="0" fontId="5" fillId="0" borderId="5" xfId="0" applyFont="1" applyBorder="1" applyAlignment="1">
      <alignment horizontal="center" vertical="top" wrapText="1"/>
    </xf>
    <xf numFmtId="0" fontId="5" fillId="0" borderId="3" xfId="0" applyFont="1" applyBorder="1" applyAlignment="1">
      <alignment horizontal="center" vertical="top" wrapText="1"/>
    </xf>
    <xf numFmtId="0" fontId="5" fillId="0" borderId="2" xfId="0" applyFont="1" applyBorder="1" applyAlignment="1">
      <alignment horizontal="center" vertical="top" wrapText="1"/>
    </xf>
    <xf numFmtId="0" fontId="48" fillId="0" borderId="5" xfId="0" applyFont="1" applyBorder="1" applyAlignment="1">
      <alignment horizontal="center" vertical="top" wrapText="1"/>
    </xf>
    <xf numFmtId="0" fontId="48" fillId="0" borderId="3" xfId="0" applyFont="1" applyBorder="1" applyAlignment="1">
      <alignment horizontal="center" vertical="top" wrapText="1"/>
    </xf>
    <xf numFmtId="0" fontId="48" fillId="0" borderId="2" xfId="0" applyFont="1" applyBorder="1" applyAlignment="1">
      <alignment horizontal="center" vertical="top" wrapText="1"/>
    </xf>
    <xf numFmtId="165" fontId="19" fillId="0" borderId="5" xfId="0" applyNumberFormat="1" applyFont="1" applyBorder="1" applyAlignment="1">
      <alignment horizontal="center" vertical="top" wrapText="1"/>
    </xf>
    <xf numFmtId="165" fontId="19" fillId="0" borderId="3" xfId="0" applyNumberFormat="1" applyFont="1" applyBorder="1" applyAlignment="1">
      <alignment horizontal="center" vertical="top" wrapText="1"/>
    </xf>
    <xf numFmtId="165" fontId="19" fillId="0" borderId="2" xfId="0" applyNumberFormat="1" applyFont="1" applyBorder="1" applyAlignment="1">
      <alignment horizontal="center" vertical="top" wrapText="1"/>
    </xf>
    <xf numFmtId="0" fontId="5" fillId="0" borderId="0" xfId="0" applyFont="1" applyAlignment="1">
      <alignment horizontal="left" vertical="top" wrapText="1"/>
    </xf>
    <xf numFmtId="0" fontId="108" fillId="0" borderId="3" xfId="0" applyFont="1" applyBorder="1"/>
    <xf numFmtId="0" fontId="108" fillId="0" borderId="2" xfId="0" applyFont="1" applyBorder="1"/>
    <xf numFmtId="0" fontId="17" fillId="0" borderId="6" xfId="0" applyFont="1" applyBorder="1" applyAlignment="1">
      <alignment vertical="top" wrapText="1"/>
    </xf>
    <xf numFmtId="0" fontId="17" fillId="0" borderId="7" xfId="0" applyFont="1" applyBorder="1" applyAlignment="1">
      <alignment vertical="top" wrapText="1"/>
    </xf>
    <xf numFmtId="0" fontId="17" fillId="0" borderId="4" xfId="0" applyFont="1" applyBorder="1" applyAlignment="1">
      <alignment vertical="top" wrapText="1"/>
    </xf>
  </cellXfs>
  <cellStyles count="4">
    <cellStyle name="Обычный" xfId="0" builtinId="0"/>
    <cellStyle name="Обычный 2" xfId="1"/>
    <cellStyle name="Обычный 2 2" xfId="2"/>
    <cellStyle name="Обычный_Лист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71"/>
  <sheetViews>
    <sheetView zoomScale="75" workbookViewId="0">
      <selection activeCell="D66" sqref="D66"/>
    </sheetView>
  </sheetViews>
  <sheetFormatPr defaultRowHeight="15.75"/>
  <cols>
    <col min="1" max="1" width="9.140625" style="290"/>
    <col min="2" max="2" width="40.28515625" style="289" customWidth="1"/>
    <col min="3" max="3" width="15.7109375" style="63" customWidth="1"/>
    <col min="4" max="4" width="43.28515625" style="101" customWidth="1"/>
    <col min="5" max="5" width="15.85546875" style="63" customWidth="1"/>
    <col min="6" max="6" width="15.85546875" style="101" customWidth="1"/>
    <col min="7" max="7" width="16.85546875" style="101" customWidth="1"/>
    <col min="8" max="16384" width="9.140625" style="101"/>
  </cols>
  <sheetData>
    <row r="1" spans="1:7" ht="18.75" customHeight="1">
      <c r="B1" s="1131" t="s">
        <v>446</v>
      </c>
      <c r="C1" s="1131"/>
      <c r="D1" s="1131"/>
      <c r="E1" s="1131"/>
      <c r="F1" s="1131"/>
      <c r="G1" s="1131"/>
    </row>
    <row r="2" spans="1:7" ht="42" customHeight="1">
      <c r="B2" s="1132" t="s">
        <v>120</v>
      </c>
      <c r="C2" s="1133"/>
      <c r="D2" s="1133"/>
      <c r="E2" s="1134"/>
      <c r="F2" s="1134"/>
      <c r="G2" s="1134"/>
    </row>
    <row r="3" spans="1:7" ht="54.75" customHeight="1">
      <c r="A3" s="5" t="s">
        <v>434</v>
      </c>
      <c r="B3" s="5" t="s">
        <v>338</v>
      </c>
      <c r="C3" s="5" t="s">
        <v>771</v>
      </c>
      <c r="D3" s="5" t="s">
        <v>333</v>
      </c>
      <c r="E3" s="5" t="s">
        <v>337</v>
      </c>
      <c r="F3" s="5" t="s">
        <v>770</v>
      </c>
      <c r="G3" s="5" t="s">
        <v>82</v>
      </c>
    </row>
    <row r="4" spans="1:7" ht="43.5" customHeight="1">
      <c r="A4" s="291">
        <v>1</v>
      </c>
      <c r="B4" s="295" t="s">
        <v>419</v>
      </c>
      <c r="C4" s="298">
        <v>0.05</v>
      </c>
      <c r="D4" s="91" t="s">
        <v>577</v>
      </c>
      <c r="E4" s="251">
        <v>0.4</v>
      </c>
      <c r="F4" s="667"/>
      <c r="G4" s="173">
        <f>E4*F4</f>
        <v>0</v>
      </c>
    </row>
    <row r="5" spans="1:7" ht="69.75" customHeight="1">
      <c r="A5" s="291"/>
      <c r="B5" s="297"/>
      <c r="C5" s="299"/>
      <c r="D5" s="91" t="s">
        <v>578</v>
      </c>
      <c r="E5" s="251">
        <v>0.6</v>
      </c>
      <c r="F5" s="667"/>
      <c r="G5" s="173">
        <f>E5*F5</f>
        <v>0</v>
      </c>
    </row>
    <row r="6" spans="1:7" ht="20.25" customHeight="1">
      <c r="A6" s="291"/>
      <c r="B6" s="35" t="s">
        <v>849</v>
      </c>
      <c r="C6" s="250">
        <f>C4</f>
        <v>0.05</v>
      </c>
      <c r="D6" s="49"/>
      <c r="E6" s="250">
        <f>SUM(E4:E5)</f>
        <v>1</v>
      </c>
      <c r="F6" s="668"/>
      <c r="G6" s="666">
        <f>SUM(G4:G5)*C4</f>
        <v>0</v>
      </c>
    </row>
    <row r="7" spans="1:7" ht="117" customHeight="1">
      <c r="A7" s="291">
        <v>2</v>
      </c>
      <c r="B7" s="295" t="s">
        <v>420</v>
      </c>
      <c r="C7" s="298">
        <v>0.1</v>
      </c>
      <c r="D7" s="91" t="s">
        <v>579</v>
      </c>
      <c r="E7" s="251">
        <v>0.6</v>
      </c>
      <c r="F7" s="667"/>
      <c r="G7" s="173">
        <f t="shared" ref="G7:G33" si="0">E7*F7</f>
        <v>0</v>
      </c>
    </row>
    <row r="8" spans="1:7" ht="55.5" customHeight="1">
      <c r="A8" s="291"/>
      <c r="B8" s="297"/>
      <c r="C8" s="299"/>
      <c r="D8" s="91" t="s">
        <v>580</v>
      </c>
      <c r="E8" s="251">
        <v>0.4</v>
      </c>
      <c r="F8" s="667"/>
      <c r="G8" s="173">
        <f t="shared" si="0"/>
        <v>0</v>
      </c>
    </row>
    <row r="9" spans="1:7" ht="19.5" customHeight="1">
      <c r="A9" s="291"/>
      <c r="B9" s="35" t="s">
        <v>850</v>
      </c>
      <c r="C9" s="250">
        <f>C7</f>
        <v>0.1</v>
      </c>
      <c r="D9" s="49"/>
      <c r="E9" s="250">
        <f>SUM(E7:E8)</f>
        <v>1</v>
      </c>
      <c r="F9" s="668"/>
      <c r="G9" s="666">
        <f>SUM(G7:G8)*C7</f>
        <v>0</v>
      </c>
    </row>
    <row r="10" spans="1:7" ht="63" customHeight="1">
      <c r="A10" s="291">
        <v>3</v>
      </c>
      <c r="B10" s="295" t="s">
        <v>421</v>
      </c>
      <c r="C10" s="298">
        <v>0.2</v>
      </c>
      <c r="D10" s="91" t="s">
        <v>581</v>
      </c>
      <c r="E10" s="251">
        <v>0.25</v>
      </c>
      <c r="F10" s="667"/>
      <c r="G10" s="173">
        <f t="shared" si="0"/>
        <v>0</v>
      </c>
    </row>
    <row r="11" spans="1:7" ht="82.5" customHeight="1">
      <c r="A11" s="291"/>
      <c r="B11" s="296"/>
      <c r="C11" s="300"/>
      <c r="D11" s="91" t="s">
        <v>582</v>
      </c>
      <c r="E11" s="251">
        <v>0.25</v>
      </c>
      <c r="F11" s="667"/>
      <c r="G11" s="173">
        <f t="shared" si="0"/>
        <v>0</v>
      </c>
    </row>
    <row r="12" spans="1:7" ht="62.25" customHeight="1">
      <c r="A12" s="291"/>
      <c r="B12" s="296"/>
      <c r="C12" s="300"/>
      <c r="D12" s="91" t="s">
        <v>583</v>
      </c>
      <c r="E12" s="251">
        <v>0.25</v>
      </c>
      <c r="F12" s="667"/>
      <c r="G12" s="173">
        <f t="shared" si="0"/>
        <v>0</v>
      </c>
    </row>
    <row r="13" spans="1:7" ht="45" customHeight="1">
      <c r="A13" s="291"/>
      <c r="B13" s="297"/>
      <c r="C13" s="299"/>
      <c r="D13" s="91" t="s">
        <v>334</v>
      </c>
      <c r="E13" s="251">
        <v>0.25</v>
      </c>
      <c r="F13" s="667"/>
      <c r="G13" s="173">
        <f t="shared" si="0"/>
        <v>0</v>
      </c>
    </row>
    <row r="14" spans="1:7" ht="21" customHeight="1">
      <c r="A14" s="291"/>
      <c r="B14" s="35" t="s">
        <v>851</v>
      </c>
      <c r="C14" s="250">
        <f>C10</f>
        <v>0.2</v>
      </c>
      <c r="D14" s="49"/>
      <c r="E14" s="250">
        <f>SUM(E10:E13)</f>
        <v>1</v>
      </c>
      <c r="F14" s="668"/>
      <c r="G14" s="666">
        <f>SUM(G10:G13)*C10</f>
        <v>0</v>
      </c>
    </row>
    <row r="15" spans="1:7" ht="79.5" customHeight="1">
      <c r="A15" s="291">
        <v>4</v>
      </c>
      <c r="B15" s="355" t="s">
        <v>422</v>
      </c>
      <c r="C15" s="298">
        <v>0.25</v>
      </c>
      <c r="D15" s="91" t="s">
        <v>428</v>
      </c>
      <c r="E15" s="251">
        <v>0.2</v>
      </c>
      <c r="F15" s="667"/>
      <c r="G15" s="173">
        <f t="shared" si="0"/>
        <v>0</v>
      </c>
    </row>
    <row r="16" spans="1:7" ht="47.25">
      <c r="A16" s="291"/>
      <c r="B16" s="296"/>
      <c r="C16" s="300"/>
      <c r="D16" s="91" t="s">
        <v>584</v>
      </c>
      <c r="E16" s="251">
        <v>0.1</v>
      </c>
      <c r="F16" s="667"/>
      <c r="G16" s="173">
        <f t="shared" si="0"/>
        <v>0</v>
      </c>
    </row>
    <row r="17" spans="1:7" ht="31.5">
      <c r="A17" s="291"/>
      <c r="B17" s="296"/>
      <c r="C17" s="300"/>
      <c r="D17" s="91" t="s">
        <v>585</v>
      </c>
      <c r="E17" s="251">
        <v>0.1</v>
      </c>
      <c r="F17" s="667"/>
      <c r="G17" s="173">
        <f t="shared" si="0"/>
        <v>0</v>
      </c>
    </row>
    <row r="18" spans="1:7" ht="80.25" customHeight="1">
      <c r="A18" s="291"/>
      <c r="B18" s="296"/>
      <c r="C18" s="300"/>
      <c r="D18" s="91" t="s">
        <v>586</v>
      </c>
      <c r="E18" s="251">
        <v>0.5</v>
      </c>
      <c r="F18" s="667"/>
      <c r="G18" s="173">
        <f t="shared" si="0"/>
        <v>0</v>
      </c>
    </row>
    <row r="19" spans="1:7" ht="47.25">
      <c r="A19" s="291"/>
      <c r="B19" s="297"/>
      <c r="C19" s="299"/>
      <c r="D19" s="91" t="s">
        <v>587</v>
      </c>
      <c r="E19" s="251">
        <v>0.1</v>
      </c>
      <c r="F19" s="667"/>
      <c r="G19" s="173">
        <f t="shared" si="0"/>
        <v>0</v>
      </c>
    </row>
    <row r="20" spans="1:7" ht="19.5" customHeight="1">
      <c r="A20" s="291"/>
      <c r="B20" s="35" t="s">
        <v>852</v>
      </c>
      <c r="C20" s="250">
        <f>C15</f>
        <v>0.25</v>
      </c>
      <c r="D20" s="49"/>
      <c r="E20" s="250">
        <f>SUM(E15:E19)</f>
        <v>1</v>
      </c>
      <c r="F20" s="668"/>
      <c r="G20" s="666">
        <f>SUM(G15:G19)*C15</f>
        <v>0</v>
      </c>
    </row>
    <row r="21" spans="1:7" ht="65.25" customHeight="1">
      <c r="A21" s="291">
        <v>5</v>
      </c>
      <c r="B21" s="295" t="s">
        <v>423</v>
      </c>
      <c r="C21" s="298">
        <v>0.2</v>
      </c>
      <c r="D21" s="91" t="s">
        <v>588</v>
      </c>
      <c r="E21" s="251">
        <v>0.25</v>
      </c>
      <c r="F21" s="667"/>
      <c r="G21" s="173">
        <f t="shared" si="0"/>
        <v>0</v>
      </c>
    </row>
    <row r="22" spans="1:7" ht="63">
      <c r="A22" s="291"/>
      <c r="B22" s="296"/>
      <c r="C22" s="300"/>
      <c r="D22" s="120" t="s">
        <v>335</v>
      </c>
      <c r="E22" s="251">
        <v>0.1</v>
      </c>
      <c r="F22" s="667"/>
      <c r="G22" s="173">
        <f t="shared" si="0"/>
        <v>0</v>
      </c>
    </row>
    <row r="23" spans="1:7" ht="77.25" customHeight="1">
      <c r="A23" s="291"/>
      <c r="B23" s="296"/>
      <c r="C23" s="300"/>
      <c r="D23" s="120" t="s">
        <v>911</v>
      </c>
      <c r="E23" s="251">
        <v>0.15</v>
      </c>
      <c r="F23" s="669"/>
      <c r="G23" s="173">
        <f t="shared" si="0"/>
        <v>0</v>
      </c>
    </row>
    <row r="24" spans="1:7" ht="47.25">
      <c r="A24" s="291"/>
      <c r="B24" s="296"/>
      <c r="C24" s="300"/>
      <c r="D24" s="261" t="s">
        <v>1591</v>
      </c>
      <c r="E24" s="251">
        <v>0.25</v>
      </c>
      <c r="F24" s="669"/>
      <c r="G24" s="173">
        <f t="shared" si="0"/>
        <v>0</v>
      </c>
    </row>
    <row r="25" spans="1:7">
      <c r="A25" s="291"/>
      <c r="B25" s="296"/>
      <c r="C25" s="300"/>
      <c r="D25" s="109" t="s">
        <v>427</v>
      </c>
      <c r="E25" s="251">
        <v>0.15</v>
      </c>
      <c r="F25" s="669"/>
      <c r="G25" s="173">
        <f t="shared" si="0"/>
        <v>0</v>
      </c>
    </row>
    <row r="26" spans="1:7" ht="78.75">
      <c r="A26" s="291"/>
      <c r="B26" s="296"/>
      <c r="C26" s="300"/>
      <c r="D26" s="109" t="s">
        <v>795</v>
      </c>
      <c r="E26" s="251">
        <v>0.1</v>
      </c>
      <c r="F26" s="669"/>
      <c r="G26" s="173">
        <f t="shared" si="0"/>
        <v>0</v>
      </c>
    </row>
    <row r="27" spans="1:7" ht="21.75" customHeight="1">
      <c r="A27" s="291"/>
      <c r="B27" s="35" t="s">
        <v>853</v>
      </c>
      <c r="C27" s="250">
        <f>C21</f>
        <v>0.2</v>
      </c>
      <c r="D27" s="692"/>
      <c r="E27" s="250">
        <f>SUM(E21:E26)</f>
        <v>1</v>
      </c>
      <c r="F27" s="668"/>
      <c r="G27" s="666">
        <f>SUM(G21:G26)*C21</f>
        <v>0</v>
      </c>
    </row>
    <row r="28" spans="1:7" ht="80.25" customHeight="1">
      <c r="A28" s="291">
        <v>6</v>
      </c>
      <c r="B28" s="295" t="s">
        <v>424</v>
      </c>
      <c r="C28" s="298">
        <v>0.1</v>
      </c>
      <c r="D28" s="261" t="s">
        <v>426</v>
      </c>
      <c r="E28" s="251">
        <v>0.2</v>
      </c>
      <c r="F28" s="667"/>
      <c r="G28" s="173">
        <f t="shared" si="0"/>
        <v>0</v>
      </c>
    </row>
    <row r="29" spans="1:7" ht="53.25" customHeight="1">
      <c r="A29" s="291"/>
      <c r="B29" s="296"/>
      <c r="C29" s="300"/>
      <c r="D29" s="109" t="s">
        <v>1592</v>
      </c>
      <c r="E29" s="251">
        <v>0.3</v>
      </c>
      <c r="F29" s="669"/>
      <c r="G29" s="173">
        <f t="shared" si="0"/>
        <v>0</v>
      </c>
    </row>
    <row r="30" spans="1:7" ht="47.25">
      <c r="A30" s="291"/>
      <c r="B30" s="296"/>
      <c r="C30" s="300"/>
      <c r="D30" s="96" t="s">
        <v>912</v>
      </c>
      <c r="E30" s="251">
        <v>0.3</v>
      </c>
      <c r="F30" s="669"/>
      <c r="G30" s="173">
        <f t="shared" si="0"/>
        <v>0</v>
      </c>
    </row>
    <row r="31" spans="1:7" ht="31.5">
      <c r="A31" s="291"/>
      <c r="B31" s="297"/>
      <c r="C31" s="299"/>
      <c r="D31" s="96" t="s">
        <v>336</v>
      </c>
      <c r="E31" s="251">
        <v>0.2</v>
      </c>
      <c r="F31" s="669"/>
      <c r="G31" s="173">
        <f t="shared" si="0"/>
        <v>0</v>
      </c>
    </row>
    <row r="32" spans="1:7">
      <c r="A32" s="291"/>
      <c r="B32" s="35" t="s">
        <v>854</v>
      </c>
      <c r="C32" s="250">
        <f>C28</f>
        <v>0.1</v>
      </c>
      <c r="D32" s="49"/>
      <c r="E32" s="250">
        <f>SUM(E28:E31)</f>
        <v>1</v>
      </c>
      <c r="F32" s="668"/>
      <c r="G32" s="666">
        <f>SUM(G28:G31)*C28</f>
        <v>0</v>
      </c>
    </row>
    <row r="33" spans="1:7" ht="78.75">
      <c r="A33" s="291">
        <v>7</v>
      </c>
      <c r="B33" s="292" t="s">
        <v>425</v>
      </c>
      <c r="C33" s="251">
        <v>0.1</v>
      </c>
      <c r="D33" s="96" t="s">
        <v>913</v>
      </c>
      <c r="E33" s="251">
        <v>1</v>
      </c>
      <c r="F33" s="669"/>
      <c r="G33" s="173">
        <f t="shared" si="0"/>
        <v>0</v>
      </c>
    </row>
    <row r="34" spans="1:7">
      <c r="A34" s="291"/>
      <c r="B34" s="35" t="s">
        <v>855</v>
      </c>
      <c r="C34" s="250">
        <f>C33</f>
        <v>0.1</v>
      </c>
      <c r="D34" s="49"/>
      <c r="E34" s="250">
        <f>E33</f>
        <v>1</v>
      </c>
      <c r="F34" s="668"/>
      <c r="G34" s="666">
        <f>SUM(G33)*C33</f>
        <v>0</v>
      </c>
    </row>
    <row r="35" spans="1:7" ht="24.75" customHeight="1">
      <c r="A35" s="291"/>
      <c r="B35" s="336" t="s">
        <v>443</v>
      </c>
      <c r="C35" s="293">
        <f>C34+C32+C27+C20+C14+C9+C6</f>
        <v>1</v>
      </c>
      <c r="D35" s="294"/>
      <c r="E35" s="301">
        <v>7</v>
      </c>
      <c r="F35" s="670"/>
      <c r="G35" s="666">
        <f>SUBTOTAL(9,G6,G9,G14,G20,G27,G32,G34)</f>
        <v>0</v>
      </c>
    </row>
    <row r="36" spans="1:7" s="25" customFormat="1">
      <c r="A36" s="339"/>
      <c r="B36" s="339" t="s">
        <v>444</v>
      </c>
      <c r="C36" s="19"/>
      <c r="D36" s="19"/>
      <c r="E36" s="51"/>
      <c r="F36" s="51"/>
      <c r="G36" s="341" t="str">
        <f>IF(G35&lt;=0.5,"низький",IF(G35&lt;=0.75,"середній",(IF(G35&lt;=0.95,"достатній",(IF(G35&lt;=1,"високий"))))))</f>
        <v>низький</v>
      </c>
    </row>
    <row r="37" spans="1:7" s="302" customFormat="1">
      <c r="A37" s="288" t="s">
        <v>182</v>
      </c>
      <c r="B37" s="289"/>
      <c r="C37" s="342"/>
      <c r="E37" s="343"/>
      <c r="F37" s="344"/>
      <c r="G37" s="112"/>
    </row>
    <row r="38" spans="1:7" s="302" customFormat="1" ht="17.25">
      <c r="A38" s="345" t="s">
        <v>589</v>
      </c>
      <c r="B38" s="346"/>
      <c r="C38" s="347"/>
      <c r="D38" s="303"/>
      <c r="E38" s="348"/>
      <c r="F38" s="349"/>
      <c r="G38" s="112"/>
    </row>
    <row r="39" spans="1:7" s="302" customFormat="1" ht="17.25">
      <c r="A39" s="345" t="s">
        <v>590</v>
      </c>
      <c r="B39" s="346"/>
      <c r="C39" s="347"/>
      <c r="D39" s="303"/>
      <c r="E39" s="348"/>
      <c r="F39" s="349"/>
      <c r="G39" s="112"/>
    </row>
    <row r="40" spans="1:7" s="302" customFormat="1" ht="17.25">
      <c r="A40" s="345" t="s">
        <v>591</v>
      </c>
      <c r="B40" s="346"/>
      <c r="C40" s="347"/>
      <c r="D40" s="303"/>
      <c r="E40" s="348"/>
      <c r="F40" s="349"/>
      <c r="G40" s="112"/>
    </row>
    <row r="41" spans="1:7" s="302" customFormat="1" ht="17.25">
      <c r="A41" s="345" t="s">
        <v>592</v>
      </c>
      <c r="B41" s="346"/>
      <c r="C41" s="347"/>
      <c r="D41" s="303"/>
      <c r="E41" s="348"/>
      <c r="F41" s="349"/>
      <c r="G41" s="112"/>
    </row>
    <row r="42" spans="1:7" s="302" customFormat="1" ht="17.25">
      <c r="A42" s="345" t="s">
        <v>593</v>
      </c>
      <c r="B42" s="346"/>
      <c r="C42" s="347"/>
      <c r="D42" s="303"/>
      <c r="E42" s="348"/>
      <c r="F42" s="349"/>
      <c r="G42" s="112"/>
    </row>
    <row r="43" spans="1:7" s="302" customFormat="1" ht="17.25">
      <c r="A43" s="345" t="s">
        <v>594</v>
      </c>
      <c r="B43" s="346"/>
      <c r="C43" s="347"/>
      <c r="D43" s="303"/>
      <c r="E43" s="348"/>
      <c r="F43" s="349"/>
      <c r="G43" s="112"/>
    </row>
    <row r="44" spans="1:7" s="302" customFormat="1" ht="17.25">
      <c r="A44" s="345" t="s">
        <v>595</v>
      </c>
      <c r="B44" s="346"/>
      <c r="C44" s="347"/>
      <c r="D44" s="303"/>
      <c r="E44" s="348"/>
      <c r="F44" s="349"/>
      <c r="G44" s="112"/>
    </row>
    <row r="45" spans="1:7" s="302" customFormat="1">
      <c r="A45" s="350" t="s">
        <v>596</v>
      </c>
      <c r="B45" s="346"/>
      <c r="C45" s="347"/>
      <c r="D45" s="303"/>
      <c r="E45" s="348"/>
      <c r="F45" s="349"/>
      <c r="G45" s="112"/>
    </row>
    <row r="46" spans="1:7" s="302" customFormat="1">
      <c r="A46" s="345" t="s">
        <v>597</v>
      </c>
      <c r="B46" s="346"/>
      <c r="C46" s="347"/>
      <c r="D46" s="303"/>
      <c r="E46" s="348"/>
      <c r="F46" s="349"/>
      <c r="G46" s="112"/>
    </row>
    <row r="47" spans="1:7" s="302" customFormat="1">
      <c r="A47" s="288" t="s">
        <v>792</v>
      </c>
      <c r="B47" s="346"/>
      <c r="C47" s="347"/>
      <c r="D47" s="303"/>
      <c r="E47" s="348"/>
      <c r="F47" s="349"/>
      <c r="G47" s="112"/>
    </row>
    <row r="48" spans="1:7" s="302" customFormat="1">
      <c r="A48" s="288" t="s">
        <v>793</v>
      </c>
      <c r="B48" s="346"/>
      <c r="C48" s="347"/>
      <c r="D48" s="303"/>
      <c r="E48" s="348"/>
      <c r="F48" s="349"/>
      <c r="G48" s="112"/>
    </row>
    <row r="49" spans="1:7" s="302" customFormat="1">
      <c r="A49" s="288" t="s">
        <v>794</v>
      </c>
      <c r="B49" s="346"/>
      <c r="C49" s="347"/>
      <c r="D49" s="303"/>
      <c r="E49" s="348"/>
      <c r="F49" s="349"/>
      <c r="G49" s="112"/>
    </row>
    <row r="50" spans="1:7" s="302" customFormat="1">
      <c r="A50" s="342"/>
      <c r="B50" s="342" t="s">
        <v>20</v>
      </c>
      <c r="C50" s="342"/>
      <c r="D50" s="342"/>
      <c r="E50" s="342"/>
      <c r="F50" s="342"/>
      <c r="G50" s="342"/>
    </row>
    <row r="51" spans="1:7" s="302" customFormat="1">
      <c r="A51" s="351"/>
      <c r="B51" s="351"/>
      <c r="C51" s="351"/>
      <c r="D51" s="351"/>
      <c r="E51" s="351"/>
      <c r="F51" s="351"/>
      <c r="G51" s="351"/>
    </row>
    <row r="52" spans="1:7" s="302" customFormat="1">
      <c r="A52" s="351"/>
      <c r="B52" s="351"/>
      <c r="C52" s="351"/>
      <c r="D52" s="351"/>
      <c r="E52" s="351"/>
      <c r="F52" s="351"/>
      <c r="G52" s="351"/>
    </row>
    <row r="53" spans="1:7" s="302" customFormat="1">
      <c r="A53" s="351"/>
      <c r="B53" s="351"/>
      <c r="C53" s="351"/>
      <c r="D53" s="351"/>
      <c r="E53" s="351"/>
      <c r="F53" s="351"/>
      <c r="G53" s="351"/>
    </row>
    <row r="54" spans="1:7" s="302" customFormat="1">
      <c r="A54" s="351"/>
      <c r="B54" s="351"/>
      <c r="C54" s="351"/>
      <c r="D54" s="351"/>
      <c r="E54" s="351"/>
      <c r="F54" s="351"/>
      <c r="G54" s="351"/>
    </row>
    <row r="55" spans="1:7" s="302" customFormat="1">
      <c r="A55" s="351"/>
      <c r="B55" s="351"/>
      <c r="C55" s="351"/>
      <c r="D55" s="351"/>
      <c r="E55" s="351"/>
      <c r="F55" s="351"/>
      <c r="G55" s="351"/>
    </row>
    <row r="56" spans="1:7" s="302" customFormat="1">
      <c r="A56" s="351"/>
      <c r="B56" s="351"/>
      <c r="C56" s="351"/>
      <c r="D56" s="351"/>
      <c r="E56" s="351"/>
      <c r="F56" s="351"/>
      <c r="G56" s="351"/>
    </row>
    <row r="57" spans="1:7" s="302" customFormat="1">
      <c r="A57" s="351"/>
      <c r="B57" s="351"/>
      <c r="C57" s="351"/>
      <c r="D57" s="351"/>
      <c r="E57" s="351"/>
      <c r="F57" s="351"/>
      <c r="G57" s="351"/>
    </row>
    <row r="58" spans="1:7" s="302" customFormat="1">
      <c r="A58" s="351"/>
      <c r="B58" s="351"/>
      <c r="C58" s="351"/>
      <c r="D58" s="351"/>
      <c r="E58" s="351"/>
      <c r="F58" s="351"/>
      <c r="G58" s="351"/>
    </row>
    <row r="59" spans="1:7" s="302" customFormat="1">
      <c r="A59" s="351"/>
      <c r="B59" s="351"/>
      <c r="C59" s="351"/>
      <c r="D59" s="351"/>
      <c r="E59" s="351"/>
      <c r="F59" s="351"/>
      <c r="G59" s="351"/>
    </row>
    <row r="60" spans="1:7" s="302" customFormat="1">
      <c r="A60" s="351"/>
      <c r="B60" s="351"/>
      <c r="C60" s="351"/>
      <c r="D60" s="351"/>
      <c r="E60" s="351"/>
      <c r="F60" s="351"/>
      <c r="G60" s="351"/>
    </row>
    <row r="61" spans="1:7" s="302" customFormat="1">
      <c r="A61" s="351"/>
      <c r="B61" s="351"/>
      <c r="C61" s="351"/>
      <c r="D61" s="351"/>
      <c r="E61" s="351"/>
      <c r="F61" s="351"/>
      <c r="G61" s="351"/>
    </row>
    <row r="62" spans="1:7" s="302" customFormat="1">
      <c r="A62" s="351"/>
      <c r="B62" s="351"/>
      <c r="C62" s="351"/>
      <c r="D62" s="351"/>
      <c r="E62" s="351"/>
      <c r="F62" s="351"/>
      <c r="G62" s="351"/>
    </row>
    <row r="63" spans="1:7" s="302" customFormat="1">
      <c r="A63" s="351"/>
      <c r="B63" s="351"/>
      <c r="C63" s="351"/>
      <c r="D63" s="351"/>
      <c r="E63" s="351"/>
      <c r="F63" s="351"/>
      <c r="G63" s="351"/>
    </row>
    <row r="64" spans="1:7" s="302" customFormat="1">
      <c r="A64" s="351"/>
      <c r="B64" s="351"/>
      <c r="C64" s="351"/>
      <c r="D64" s="351"/>
      <c r="E64" s="351"/>
      <c r="F64" s="351"/>
      <c r="G64" s="351"/>
    </row>
    <row r="65" spans="1:7" s="302" customFormat="1">
      <c r="A65" s="342"/>
      <c r="B65" s="352" t="s">
        <v>2418</v>
      </c>
      <c r="C65" s="352"/>
      <c r="D65" s="352"/>
      <c r="E65" s="352"/>
      <c r="F65" s="352"/>
      <c r="G65" s="352"/>
    </row>
    <row r="66" spans="1:7" s="302" customFormat="1">
      <c r="A66" s="342"/>
      <c r="B66" s="353"/>
      <c r="C66" s="353"/>
      <c r="D66" s="353"/>
      <c r="E66" s="353"/>
      <c r="F66" s="353"/>
      <c r="G66" s="353"/>
    </row>
    <row r="67" spans="1:7" s="302" customFormat="1">
      <c r="A67" s="342"/>
      <c r="B67" s="352" t="s">
        <v>22</v>
      </c>
      <c r="C67" s="352"/>
      <c r="D67" s="352"/>
      <c r="E67" s="352"/>
      <c r="F67" s="352"/>
      <c r="G67" s="352"/>
    </row>
    <row r="68" spans="1:7" s="302" customFormat="1">
      <c r="A68" s="342"/>
      <c r="B68" s="353"/>
      <c r="C68" s="353"/>
      <c r="D68" s="353"/>
      <c r="E68" s="353"/>
      <c r="F68" s="353"/>
      <c r="G68" s="353"/>
    </row>
    <row r="69" spans="1:7" s="302" customFormat="1">
      <c r="A69" s="342"/>
      <c r="B69" s="352" t="s">
        <v>23</v>
      </c>
      <c r="C69" s="352"/>
      <c r="D69" s="352"/>
      <c r="E69" s="352"/>
      <c r="F69" s="352"/>
      <c r="G69" s="352"/>
    </row>
    <row r="70" spans="1:7" s="302" customFormat="1">
      <c r="A70" s="342"/>
      <c r="B70" s="352" t="s">
        <v>24</v>
      </c>
      <c r="C70" s="352"/>
      <c r="D70" s="352"/>
      <c r="E70" s="352"/>
      <c r="F70" s="352"/>
      <c r="G70" s="352"/>
    </row>
    <row r="71" spans="1:7" s="303" customFormat="1">
      <c r="A71" s="346"/>
      <c r="B71" s="346"/>
      <c r="E71" s="333"/>
    </row>
  </sheetData>
  <autoFilter ref="A3:G50"/>
  <mergeCells count="2">
    <mergeCell ref="B1:G1"/>
    <mergeCell ref="B2:G2"/>
  </mergeCells>
  <phoneticPr fontId="4" type="noConversion"/>
  <pageMargins left="0.7" right="0.7" top="0.75" bottom="0.75" header="0.3" footer="0.3"/>
  <pageSetup paperSize="9" scale="55" orientation="portrait" r:id="rId1"/>
</worksheet>
</file>

<file path=xl/worksheets/sheet10.xml><?xml version="1.0" encoding="utf-8"?>
<worksheet xmlns="http://schemas.openxmlformats.org/spreadsheetml/2006/main" xmlns:r="http://schemas.openxmlformats.org/officeDocument/2006/relationships">
  <dimension ref="A1:H96"/>
  <sheetViews>
    <sheetView zoomScale="80" zoomScaleNormal="80" workbookViewId="0">
      <selection activeCell="C3" sqref="C3"/>
    </sheetView>
  </sheetViews>
  <sheetFormatPr defaultRowHeight="16.5"/>
  <cols>
    <col min="2" max="2" width="35.28515625" customWidth="1"/>
    <col min="3" max="3" width="11.85546875" style="379" customWidth="1"/>
    <col min="5" max="5" width="40.42578125" style="812" customWidth="1"/>
    <col min="6" max="6" width="13.5703125" customWidth="1"/>
    <col min="8" max="8" width="13.5703125" customWidth="1"/>
  </cols>
  <sheetData>
    <row r="1" spans="1:8" ht="18">
      <c r="D1" s="23"/>
      <c r="E1" s="795"/>
      <c r="F1" s="23"/>
      <c r="G1" s="379"/>
      <c r="H1" s="380"/>
    </row>
    <row r="2" spans="1:8" ht="96" customHeight="1">
      <c r="A2" s="1147" t="s">
        <v>2244</v>
      </c>
      <c r="B2" s="1148"/>
      <c r="C2" s="1148"/>
      <c r="D2" s="1148"/>
      <c r="E2" s="1148"/>
      <c r="F2" s="1148"/>
      <c r="G2" s="1148"/>
      <c r="H2" s="1149"/>
    </row>
    <row r="3" spans="1:8" ht="48" customHeight="1">
      <c r="A3" s="631" t="s">
        <v>1443</v>
      </c>
      <c r="B3" s="631" t="s">
        <v>1444</v>
      </c>
      <c r="C3" s="631" t="s">
        <v>1445</v>
      </c>
      <c r="D3" s="796"/>
      <c r="E3" s="631" t="s">
        <v>452</v>
      </c>
      <c r="F3" s="633" t="s">
        <v>1445</v>
      </c>
      <c r="G3" s="630" t="s">
        <v>399</v>
      </c>
      <c r="H3" s="633" t="s">
        <v>1473</v>
      </c>
    </row>
    <row r="4" spans="1:8" ht="99" customHeight="1">
      <c r="A4" s="1174">
        <v>1</v>
      </c>
      <c r="B4" s="1174" t="s">
        <v>1943</v>
      </c>
      <c r="C4" s="1175">
        <v>0.12</v>
      </c>
      <c r="D4" s="797">
        <v>1</v>
      </c>
      <c r="E4" s="799" t="s">
        <v>1944</v>
      </c>
      <c r="F4" s="798">
        <f>3.5/15</f>
        <v>0.23333333333333334</v>
      </c>
      <c r="G4" s="797"/>
      <c r="H4" s="798">
        <f>G4*F4</f>
        <v>0</v>
      </c>
    </row>
    <row r="5" spans="1:8" ht="113.25" customHeight="1">
      <c r="A5" s="1174"/>
      <c r="B5" s="1174"/>
      <c r="C5" s="1175"/>
      <c r="D5" s="797">
        <v>2</v>
      </c>
      <c r="E5" s="800" t="s">
        <v>1759</v>
      </c>
      <c r="F5" s="798">
        <f>5/15</f>
        <v>0.33333333333333331</v>
      </c>
      <c r="G5" s="797"/>
      <c r="H5" s="798">
        <f>G5*F5</f>
        <v>0</v>
      </c>
    </row>
    <row r="6" spans="1:8" ht="75" customHeight="1">
      <c r="A6" s="1174"/>
      <c r="B6" s="1174"/>
      <c r="C6" s="1175"/>
      <c r="D6" s="797">
        <v>3</v>
      </c>
      <c r="E6" s="801" t="s">
        <v>2111</v>
      </c>
      <c r="F6" s="798">
        <f>3.5/15</f>
        <v>0.23333333333333334</v>
      </c>
      <c r="G6" s="797"/>
      <c r="H6" s="798">
        <f>G6*F6</f>
        <v>0</v>
      </c>
    </row>
    <row r="7" spans="1:8" ht="75.75" customHeight="1">
      <c r="A7" s="1174"/>
      <c r="B7" s="1174"/>
      <c r="C7" s="1175"/>
      <c r="D7" s="797">
        <v>4</v>
      </c>
      <c r="E7" s="802" t="s">
        <v>1758</v>
      </c>
      <c r="F7" s="798">
        <f>2/15</f>
        <v>0.13333333333333333</v>
      </c>
      <c r="G7" s="797"/>
      <c r="H7" s="798">
        <f>G7*F7</f>
        <v>0</v>
      </c>
    </row>
    <row r="8" spans="1:8" ht="84.75" customHeight="1">
      <c r="A8" s="1174"/>
      <c r="B8" s="1174"/>
      <c r="C8" s="1175"/>
      <c r="D8" s="797">
        <v>5</v>
      </c>
      <c r="E8" s="803" t="s">
        <v>2243</v>
      </c>
      <c r="F8" s="798">
        <f>1/15</f>
        <v>6.6666666666666666E-2</v>
      </c>
      <c r="G8" s="797"/>
      <c r="H8" s="798">
        <f>G8*F8</f>
        <v>0</v>
      </c>
    </row>
    <row r="9" spans="1:8" ht="18.75">
      <c r="A9" s="1174"/>
      <c r="B9" s="1174"/>
      <c r="C9" s="1175"/>
      <c r="D9" s="797">
        <f>SUM(D4:D8)</f>
        <v>15</v>
      </c>
      <c r="E9" s="804"/>
      <c r="F9" s="805">
        <f>SUM(F4:F8)</f>
        <v>1</v>
      </c>
      <c r="G9" s="806"/>
      <c r="H9" s="805">
        <f>SUM(H4:H8)*C4</f>
        <v>0</v>
      </c>
    </row>
    <row r="10" spans="1:8" ht="135" customHeight="1">
      <c r="A10" s="1174">
        <v>2</v>
      </c>
      <c r="B10" s="1174" t="s">
        <v>2112</v>
      </c>
      <c r="C10" s="1175">
        <v>0.2</v>
      </c>
      <c r="D10" s="797">
        <v>1</v>
      </c>
      <c r="E10" s="625" t="s">
        <v>2113</v>
      </c>
      <c r="F10" s="798">
        <f>6.5/55</f>
        <v>0.11818181818181818</v>
      </c>
      <c r="G10" s="797"/>
      <c r="H10" s="798">
        <f>G10*F10</f>
        <v>0</v>
      </c>
    </row>
    <row r="11" spans="1:8" ht="39" customHeight="1">
      <c r="A11" s="1174"/>
      <c r="B11" s="1174"/>
      <c r="C11" s="1175"/>
      <c r="D11" s="797">
        <v>2</v>
      </c>
      <c r="E11" s="625" t="s">
        <v>2114</v>
      </c>
      <c r="F11" s="798">
        <f>4/55</f>
        <v>7.2727272727272724E-2</v>
      </c>
      <c r="G11" s="797"/>
      <c r="H11" s="798">
        <f>G11*F11</f>
        <v>0</v>
      </c>
    </row>
    <row r="12" spans="1:8" ht="36.75" customHeight="1">
      <c r="A12" s="1174"/>
      <c r="B12" s="1174"/>
      <c r="C12" s="1175"/>
      <c r="D12" s="797">
        <v>3</v>
      </c>
      <c r="E12" s="800" t="s">
        <v>2115</v>
      </c>
      <c r="F12" s="798">
        <f>4/55</f>
        <v>7.2727272727272724E-2</v>
      </c>
      <c r="G12" s="797"/>
      <c r="H12" s="798">
        <f>G12*F12</f>
        <v>0</v>
      </c>
    </row>
    <row r="13" spans="1:8" ht="57" customHeight="1">
      <c r="A13" s="1174"/>
      <c r="B13" s="1174"/>
      <c r="C13" s="1175"/>
      <c r="D13" s="797">
        <v>4</v>
      </c>
      <c r="E13" s="800" t="s">
        <v>2116</v>
      </c>
      <c r="F13" s="798">
        <f>4/55</f>
        <v>7.2727272727272724E-2</v>
      </c>
      <c r="G13" s="797"/>
      <c r="H13" s="798">
        <f t="shared" ref="H13:H19" si="0">G13*F13</f>
        <v>0</v>
      </c>
    </row>
    <row r="14" spans="1:8" ht="40.5" customHeight="1">
      <c r="A14" s="1174"/>
      <c r="B14" s="1174"/>
      <c r="C14" s="1175"/>
      <c r="D14" s="797">
        <v>5</v>
      </c>
      <c r="E14" s="800" t="s">
        <v>2117</v>
      </c>
      <c r="F14" s="798">
        <f>6.5/55</f>
        <v>0.11818181818181818</v>
      </c>
      <c r="G14" s="797"/>
      <c r="H14" s="798">
        <f t="shared" si="0"/>
        <v>0</v>
      </c>
    </row>
    <row r="15" spans="1:8" ht="36" customHeight="1">
      <c r="A15" s="1174"/>
      <c r="B15" s="1174"/>
      <c r="C15" s="1175"/>
      <c r="D15" s="797">
        <v>6</v>
      </c>
      <c r="E15" s="800" t="s">
        <v>2118</v>
      </c>
      <c r="F15" s="798">
        <f>9/55</f>
        <v>0.16363636363636364</v>
      </c>
      <c r="G15" s="797"/>
      <c r="H15" s="798">
        <f t="shared" si="0"/>
        <v>0</v>
      </c>
    </row>
    <row r="16" spans="1:8" ht="97.5" customHeight="1">
      <c r="A16" s="1174"/>
      <c r="B16" s="1174"/>
      <c r="C16" s="1175"/>
      <c r="D16" s="797">
        <v>7</v>
      </c>
      <c r="E16" s="800" t="s">
        <v>2119</v>
      </c>
      <c r="F16" s="798">
        <f>2/55</f>
        <v>3.6363636363636362E-2</v>
      </c>
      <c r="G16" s="797"/>
      <c r="H16" s="798">
        <f t="shared" si="0"/>
        <v>0</v>
      </c>
    </row>
    <row r="17" spans="1:8" ht="39" customHeight="1">
      <c r="A17" s="1174"/>
      <c r="B17" s="1174"/>
      <c r="C17" s="1175"/>
      <c r="D17" s="797">
        <v>8</v>
      </c>
      <c r="E17" s="800" t="s">
        <v>2120</v>
      </c>
      <c r="F17" s="798">
        <f>9/55</f>
        <v>0.16363636363636364</v>
      </c>
      <c r="G17" s="797"/>
      <c r="H17" s="798">
        <f t="shared" si="0"/>
        <v>0</v>
      </c>
    </row>
    <row r="18" spans="1:8" ht="57" customHeight="1">
      <c r="A18" s="1174"/>
      <c r="B18" s="1174"/>
      <c r="C18" s="1175"/>
      <c r="D18" s="797">
        <v>9</v>
      </c>
      <c r="E18" s="800" t="s">
        <v>2121</v>
      </c>
      <c r="F18" s="798">
        <f>9/55</f>
        <v>0.16363636363636364</v>
      </c>
      <c r="G18" s="797"/>
      <c r="H18" s="798">
        <f t="shared" si="0"/>
        <v>0</v>
      </c>
    </row>
    <row r="19" spans="1:8" ht="54" customHeight="1">
      <c r="A19" s="1174"/>
      <c r="B19" s="1174"/>
      <c r="C19" s="1175"/>
      <c r="D19" s="797">
        <v>10</v>
      </c>
      <c r="E19" s="800" t="s">
        <v>2122</v>
      </c>
      <c r="F19" s="798">
        <f>1/55</f>
        <v>1.8181818181818181E-2</v>
      </c>
      <c r="G19" s="797"/>
      <c r="H19" s="798">
        <f t="shared" si="0"/>
        <v>0</v>
      </c>
    </row>
    <row r="20" spans="1:8" ht="18.75">
      <c r="A20" s="1174"/>
      <c r="B20" s="1174"/>
      <c r="C20" s="1175"/>
      <c r="D20" s="797">
        <f>SUM(D10:D19)</f>
        <v>55</v>
      </c>
      <c r="E20" s="804"/>
      <c r="F20" s="805">
        <f>SUM(F10:F19)</f>
        <v>0.99999999999999989</v>
      </c>
      <c r="G20" s="806"/>
      <c r="H20" s="805">
        <f>SUM(H10:H19)*C10</f>
        <v>0</v>
      </c>
    </row>
    <row r="21" spans="1:8" ht="40.5" customHeight="1">
      <c r="A21" s="1174">
        <v>3</v>
      </c>
      <c r="B21" s="1174" t="s">
        <v>768</v>
      </c>
      <c r="C21" s="1175">
        <v>0.16</v>
      </c>
      <c r="D21" s="797">
        <v>1</v>
      </c>
      <c r="E21" s="625" t="s">
        <v>2123</v>
      </c>
      <c r="F21" s="807">
        <f>1.5/6</f>
        <v>0.25</v>
      </c>
      <c r="G21" s="797"/>
      <c r="H21" s="807">
        <f>G21*F21</f>
        <v>0</v>
      </c>
    </row>
    <row r="22" spans="1:8" ht="59.25" customHeight="1">
      <c r="A22" s="1174"/>
      <c r="B22" s="1174"/>
      <c r="C22" s="1175"/>
      <c r="D22" s="797">
        <v>2</v>
      </c>
      <c r="E22" s="625" t="s">
        <v>2124</v>
      </c>
      <c r="F22" s="807">
        <f>3/6</f>
        <v>0.5</v>
      </c>
      <c r="G22" s="797"/>
      <c r="H22" s="807">
        <f>G22*F22</f>
        <v>0</v>
      </c>
    </row>
    <row r="23" spans="1:8" ht="78" customHeight="1">
      <c r="A23" s="1174"/>
      <c r="B23" s="1174"/>
      <c r="C23" s="1175"/>
      <c r="D23" s="797">
        <v>3</v>
      </c>
      <c r="E23" s="803" t="s">
        <v>2125</v>
      </c>
      <c r="F23" s="807">
        <f>1.5/6</f>
        <v>0.25</v>
      </c>
      <c r="G23" s="797"/>
      <c r="H23" s="807">
        <f>G23*F23</f>
        <v>0</v>
      </c>
    </row>
    <row r="24" spans="1:8" ht="18.75">
      <c r="A24" s="1174"/>
      <c r="B24" s="1174"/>
      <c r="C24" s="1175"/>
      <c r="D24" s="797">
        <f>SUM(D21:D23)</f>
        <v>6</v>
      </c>
      <c r="E24" s="808"/>
      <c r="F24" s="805">
        <f>SUM(F21:F23)</f>
        <v>1</v>
      </c>
      <c r="G24" s="806"/>
      <c r="H24" s="805">
        <f>SUM(H21:H23)*C21</f>
        <v>0</v>
      </c>
    </row>
    <row r="25" spans="1:8" ht="37.5" customHeight="1">
      <c r="A25" s="1174">
        <v>4</v>
      </c>
      <c r="B25" s="1174" t="s">
        <v>2126</v>
      </c>
      <c r="C25" s="1175">
        <v>0.15</v>
      </c>
      <c r="D25" s="797">
        <v>1</v>
      </c>
      <c r="E25" s="804" t="s">
        <v>2127</v>
      </c>
      <c r="F25" s="798">
        <f>3.5/28</f>
        <v>0.125</v>
      </c>
      <c r="G25" s="797"/>
      <c r="H25" s="798">
        <f>G25*F25</f>
        <v>0</v>
      </c>
    </row>
    <row r="26" spans="1:8" ht="71.25" customHeight="1">
      <c r="A26" s="1174"/>
      <c r="B26" s="1174"/>
      <c r="C26" s="1175"/>
      <c r="D26" s="797">
        <v>2</v>
      </c>
      <c r="E26" s="804" t="s">
        <v>2128</v>
      </c>
      <c r="F26" s="798">
        <f>3.5/28</f>
        <v>0.125</v>
      </c>
      <c r="G26" s="797"/>
      <c r="H26" s="798">
        <f t="shared" ref="H26:H31" si="1">G26*F26</f>
        <v>0</v>
      </c>
    </row>
    <row r="27" spans="1:8" ht="24.75" customHeight="1">
      <c r="A27" s="1174"/>
      <c r="B27" s="1174"/>
      <c r="C27" s="1175"/>
      <c r="D27" s="797">
        <v>3</v>
      </c>
      <c r="E27" s="804" t="s">
        <v>2129</v>
      </c>
      <c r="F27" s="798">
        <f>3.5/28</f>
        <v>0.125</v>
      </c>
      <c r="G27" s="797"/>
      <c r="H27" s="798">
        <f t="shared" si="1"/>
        <v>0</v>
      </c>
    </row>
    <row r="28" spans="1:8" ht="37.5" customHeight="1">
      <c r="A28" s="1174"/>
      <c r="B28" s="1174"/>
      <c r="C28" s="1175"/>
      <c r="D28" s="797">
        <v>4</v>
      </c>
      <c r="E28" s="804" t="s">
        <v>2130</v>
      </c>
      <c r="F28" s="798">
        <f>7/28</f>
        <v>0.25</v>
      </c>
      <c r="G28" s="797"/>
      <c r="H28" s="798">
        <f t="shared" si="1"/>
        <v>0</v>
      </c>
    </row>
    <row r="29" spans="1:8" ht="74.25" customHeight="1">
      <c r="A29" s="1174"/>
      <c r="B29" s="1174"/>
      <c r="C29" s="1175"/>
      <c r="D29" s="797">
        <v>5</v>
      </c>
      <c r="E29" s="804" t="s">
        <v>2131</v>
      </c>
      <c r="F29" s="798">
        <f>3.5/28</f>
        <v>0.125</v>
      </c>
      <c r="G29" s="797"/>
      <c r="H29" s="798">
        <f t="shared" si="1"/>
        <v>0</v>
      </c>
    </row>
    <row r="30" spans="1:8" ht="59.25" customHeight="1">
      <c r="A30" s="1174"/>
      <c r="B30" s="1174"/>
      <c r="C30" s="1175"/>
      <c r="D30" s="797">
        <v>6</v>
      </c>
      <c r="E30" s="625" t="s">
        <v>2132</v>
      </c>
      <c r="F30" s="798">
        <f>3.5/28</f>
        <v>0.125</v>
      </c>
      <c r="G30" s="797"/>
      <c r="H30" s="798">
        <f t="shared" si="1"/>
        <v>0</v>
      </c>
    </row>
    <row r="31" spans="1:8" ht="33.75" customHeight="1">
      <c r="A31" s="1174"/>
      <c r="B31" s="1174"/>
      <c r="C31" s="1175"/>
      <c r="D31" s="797">
        <v>7</v>
      </c>
      <c r="E31" s="625" t="s">
        <v>2133</v>
      </c>
      <c r="F31" s="798">
        <f>3.5/28</f>
        <v>0.125</v>
      </c>
      <c r="G31" s="797"/>
      <c r="H31" s="798">
        <f t="shared" si="1"/>
        <v>0</v>
      </c>
    </row>
    <row r="32" spans="1:8" ht="18.75">
      <c r="A32" s="1174"/>
      <c r="B32" s="1174"/>
      <c r="C32" s="1175"/>
      <c r="D32" s="797">
        <f>SUM(D25:D31)</f>
        <v>28</v>
      </c>
      <c r="E32" s="804"/>
      <c r="F32" s="809">
        <f>SUM(F25:F31)</f>
        <v>1</v>
      </c>
      <c r="G32" s="806"/>
      <c r="H32" s="809">
        <f>SUM(H25:H31)*C25</f>
        <v>0</v>
      </c>
    </row>
    <row r="33" spans="1:8" ht="93.75">
      <c r="A33" s="1167">
        <v>5</v>
      </c>
      <c r="B33" s="1167" t="s">
        <v>1457</v>
      </c>
      <c r="C33" s="1170">
        <v>0.19</v>
      </c>
      <c r="D33" s="797">
        <v>1</v>
      </c>
      <c r="E33" s="625" t="s">
        <v>1738</v>
      </c>
      <c r="F33" s="798">
        <v>0.1</v>
      </c>
      <c r="G33" s="797"/>
      <c r="H33" s="798">
        <f>G33*F33</f>
        <v>0</v>
      </c>
    </row>
    <row r="34" spans="1:8" ht="69.75" customHeight="1">
      <c r="A34" s="1168"/>
      <c r="B34" s="1168"/>
      <c r="C34" s="1171"/>
      <c r="D34" s="797">
        <v>2</v>
      </c>
      <c r="E34" s="625" t="s">
        <v>1739</v>
      </c>
      <c r="F34" s="798">
        <v>0.04</v>
      </c>
      <c r="G34" s="797"/>
      <c r="H34" s="798">
        <f>G34*F34</f>
        <v>0</v>
      </c>
    </row>
    <row r="35" spans="1:8" ht="56.25">
      <c r="A35" s="1168"/>
      <c r="B35" s="1168"/>
      <c r="C35" s="1171"/>
      <c r="D35" s="797">
        <v>3</v>
      </c>
      <c r="E35" s="625" t="s">
        <v>1740</v>
      </c>
      <c r="F35" s="798">
        <v>0.14000000000000001</v>
      </c>
      <c r="G35" s="797"/>
      <c r="H35" s="798">
        <f t="shared" ref="H35:H42" si="2">G35*F35</f>
        <v>0</v>
      </c>
    </row>
    <row r="36" spans="1:8" ht="56.25">
      <c r="A36" s="1168"/>
      <c r="B36" s="1168"/>
      <c r="C36" s="1171"/>
      <c r="D36" s="797">
        <v>4</v>
      </c>
      <c r="E36" s="625" t="s">
        <v>1741</v>
      </c>
      <c r="F36" s="798">
        <v>0.02</v>
      </c>
      <c r="G36" s="797"/>
      <c r="H36" s="798">
        <f t="shared" si="2"/>
        <v>0</v>
      </c>
    </row>
    <row r="37" spans="1:8" ht="56.25">
      <c r="A37" s="1168"/>
      <c r="B37" s="1168"/>
      <c r="C37" s="1171"/>
      <c r="D37" s="797">
        <v>5</v>
      </c>
      <c r="E37" s="625" t="s">
        <v>1742</v>
      </c>
      <c r="F37" s="798">
        <v>0.15</v>
      </c>
      <c r="G37" s="797"/>
      <c r="H37" s="798">
        <f t="shared" si="2"/>
        <v>0</v>
      </c>
    </row>
    <row r="38" spans="1:8" ht="56.25">
      <c r="A38" s="1168"/>
      <c r="B38" s="1168"/>
      <c r="C38" s="1171"/>
      <c r="D38" s="797">
        <v>6</v>
      </c>
      <c r="E38" s="625" t="s">
        <v>1743</v>
      </c>
      <c r="F38" s="798">
        <v>0.13</v>
      </c>
      <c r="G38" s="797"/>
      <c r="H38" s="798">
        <f t="shared" si="2"/>
        <v>0</v>
      </c>
    </row>
    <row r="39" spans="1:8" ht="39" customHeight="1">
      <c r="A39" s="1168"/>
      <c r="B39" s="1168"/>
      <c r="C39" s="1171"/>
      <c r="D39" s="797">
        <v>7</v>
      </c>
      <c r="E39" s="625" t="s">
        <v>1744</v>
      </c>
      <c r="F39" s="798">
        <v>0.09</v>
      </c>
      <c r="G39" s="797"/>
      <c r="H39" s="798">
        <f t="shared" si="2"/>
        <v>0</v>
      </c>
    </row>
    <row r="40" spans="1:8" ht="56.25">
      <c r="A40" s="1168"/>
      <c r="B40" s="1168"/>
      <c r="C40" s="1171"/>
      <c r="D40" s="797">
        <v>8</v>
      </c>
      <c r="E40" s="625" t="s">
        <v>1745</v>
      </c>
      <c r="F40" s="798">
        <v>0.09</v>
      </c>
      <c r="G40" s="797"/>
      <c r="H40" s="798">
        <f t="shared" si="2"/>
        <v>0</v>
      </c>
    </row>
    <row r="41" spans="1:8" ht="37.5">
      <c r="A41" s="1168"/>
      <c r="B41" s="1168"/>
      <c r="C41" s="1171"/>
      <c r="D41" s="797">
        <v>9</v>
      </c>
      <c r="E41" s="625" t="s">
        <v>1746</v>
      </c>
      <c r="F41" s="798">
        <v>0.17</v>
      </c>
      <c r="G41" s="797"/>
      <c r="H41" s="798">
        <f t="shared" si="2"/>
        <v>0</v>
      </c>
    </row>
    <row r="42" spans="1:8" ht="56.25">
      <c r="A42" s="1168"/>
      <c r="B42" s="1168"/>
      <c r="C42" s="1171"/>
      <c r="D42" s="797">
        <v>10</v>
      </c>
      <c r="E42" s="625" t="s">
        <v>1747</v>
      </c>
      <c r="F42" s="798">
        <v>7.0000000000000007E-2</v>
      </c>
      <c r="G42" s="797"/>
      <c r="H42" s="798">
        <f t="shared" si="2"/>
        <v>0</v>
      </c>
    </row>
    <row r="43" spans="1:8" ht="18.75">
      <c r="A43" s="1169"/>
      <c r="B43" s="1169"/>
      <c r="C43" s="1172"/>
      <c r="D43" s="797">
        <f>SUM(D33:D42)</f>
        <v>55</v>
      </c>
      <c r="E43" s="804"/>
      <c r="F43" s="809">
        <f>SUM(F33:F42)</f>
        <v>1</v>
      </c>
      <c r="G43" s="806"/>
      <c r="H43" s="809">
        <f>SUM(H33:H42)*C33</f>
        <v>0</v>
      </c>
    </row>
    <row r="44" spans="1:8" ht="38.25" customHeight="1">
      <c r="A44" s="1174">
        <v>6</v>
      </c>
      <c r="B44" s="1174" t="s">
        <v>1748</v>
      </c>
      <c r="C44" s="1175">
        <v>0.18</v>
      </c>
      <c r="D44" s="797">
        <v>1</v>
      </c>
      <c r="E44" s="625" t="s">
        <v>1749</v>
      </c>
      <c r="F44" s="798">
        <f>1/55</f>
        <v>1.8181818181818181E-2</v>
      </c>
      <c r="G44" s="797"/>
      <c r="H44" s="798">
        <f>G44*F44</f>
        <v>0</v>
      </c>
    </row>
    <row r="45" spans="1:8" ht="93" customHeight="1">
      <c r="A45" s="1174"/>
      <c r="B45" s="1174"/>
      <c r="C45" s="1175"/>
      <c r="D45" s="797">
        <v>2</v>
      </c>
      <c r="E45" s="625" t="s">
        <v>1750</v>
      </c>
      <c r="F45" s="798">
        <f>2/55</f>
        <v>3.6363636363636362E-2</v>
      </c>
      <c r="G45" s="797"/>
      <c r="H45" s="798">
        <f t="shared" ref="H45:H53" si="3">G45*F45</f>
        <v>0</v>
      </c>
    </row>
    <row r="46" spans="1:8" ht="38.25" customHeight="1">
      <c r="A46" s="1174"/>
      <c r="B46" s="1174"/>
      <c r="C46" s="1175"/>
      <c r="D46" s="797">
        <v>3</v>
      </c>
      <c r="E46" s="625" t="s">
        <v>1751</v>
      </c>
      <c r="F46" s="798">
        <f>3.5/55</f>
        <v>6.363636363636363E-2</v>
      </c>
      <c r="G46" s="797"/>
      <c r="H46" s="798">
        <f t="shared" si="3"/>
        <v>0</v>
      </c>
    </row>
    <row r="47" spans="1:8" ht="38.25" customHeight="1">
      <c r="A47" s="1174"/>
      <c r="B47" s="1174"/>
      <c r="C47" s="1175"/>
      <c r="D47" s="797">
        <v>4</v>
      </c>
      <c r="E47" s="625" t="s">
        <v>1752</v>
      </c>
      <c r="F47" s="798">
        <f>9.5/55</f>
        <v>0.17272727272727273</v>
      </c>
      <c r="G47" s="797"/>
      <c r="H47" s="798">
        <f t="shared" si="3"/>
        <v>0</v>
      </c>
    </row>
    <row r="48" spans="1:8" ht="57" customHeight="1">
      <c r="A48" s="1174"/>
      <c r="B48" s="1174"/>
      <c r="C48" s="1175"/>
      <c r="D48" s="797">
        <v>5</v>
      </c>
      <c r="E48" s="625" t="s">
        <v>1753</v>
      </c>
      <c r="F48" s="798">
        <f>3.5/55</f>
        <v>6.363636363636363E-2</v>
      </c>
      <c r="G48" s="797"/>
      <c r="H48" s="798">
        <f t="shared" si="3"/>
        <v>0</v>
      </c>
    </row>
    <row r="49" spans="1:8" ht="54.75" customHeight="1">
      <c r="A49" s="1174"/>
      <c r="B49" s="1174"/>
      <c r="C49" s="1175"/>
      <c r="D49" s="797">
        <v>6</v>
      </c>
      <c r="E49" s="625" t="s">
        <v>1743</v>
      </c>
      <c r="F49" s="798">
        <f>7.5/55</f>
        <v>0.13636363636363635</v>
      </c>
      <c r="G49" s="797"/>
      <c r="H49" s="798">
        <f t="shared" si="3"/>
        <v>0</v>
      </c>
    </row>
    <row r="50" spans="1:8" ht="36" customHeight="1">
      <c r="A50" s="1174"/>
      <c r="B50" s="1174"/>
      <c r="C50" s="1175"/>
      <c r="D50" s="797">
        <v>7</v>
      </c>
      <c r="E50" s="625" t="s">
        <v>1754</v>
      </c>
      <c r="F50" s="798">
        <f>9.5/55</f>
        <v>0.17272727272727273</v>
      </c>
      <c r="G50" s="797"/>
      <c r="H50" s="798">
        <f t="shared" si="3"/>
        <v>0</v>
      </c>
    </row>
    <row r="51" spans="1:8" ht="93" customHeight="1">
      <c r="A51" s="1174"/>
      <c r="B51" s="1174"/>
      <c r="C51" s="1175"/>
      <c r="D51" s="797">
        <v>8</v>
      </c>
      <c r="E51" s="625" t="s">
        <v>1755</v>
      </c>
      <c r="F51" s="798">
        <f>7.5/55</f>
        <v>0.13636363636363635</v>
      </c>
      <c r="G51" s="797"/>
      <c r="H51" s="798">
        <f t="shared" si="3"/>
        <v>0</v>
      </c>
    </row>
    <row r="52" spans="1:8" ht="54.75" customHeight="1">
      <c r="A52" s="1174"/>
      <c r="B52" s="1174"/>
      <c r="C52" s="1175"/>
      <c r="D52" s="797">
        <v>9</v>
      </c>
      <c r="E52" s="625" t="s">
        <v>1756</v>
      </c>
      <c r="F52" s="798">
        <f>5.5/55</f>
        <v>0.1</v>
      </c>
      <c r="G52" s="797"/>
      <c r="H52" s="798">
        <f t="shared" si="3"/>
        <v>0</v>
      </c>
    </row>
    <row r="53" spans="1:8" ht="63.75" customHeight="1">
      <c r="A53" s="1174"/>
      <c r="B53" s="1174"/>
      <c r="C53" s="1175"/>
      <c r="D53" s="797">
        <v>10</v>
      </c>
      <c r="E53" s="625" t="s">
        <v>1757</v>
      </c>
      <c r="F53" s="798">
        <f>5.5/55</f>
        <v>0.1</v>
      </c>
      <c r="G53" s="797"/>
      <c r="H53" s="798">
        <f t="shared" si="3"/>
        <v>0</v>
      </c>
    </row>
    <row r="54" spans="1:8" ht="18.75">
      <c r="A54" s="1174"/>
      <c r="B54" s="1174"/>
      <c r="C54" s="1175"/>
      <c r="D54" s="797">
        <f>SUM(D44:D53)</f>
        <v>55</v>
      </c>
      <c r="E54" s="804"/>
      <c r="F54" s="805">
        <f>SUM(F44:F53)</f>
        <v>0.99999999999999989</v>
      </c>
      <c r="G54" s="806"/>
      <c r="H54" s="805">
        <f>SUM(H44:H53)*C44</f>
        <v>0</v>
      </c>
    </row>
    <row r="55" spans="1:8" ht="18.75">
      <c r="A55" s="797"/>
      <c r="B55" s="797"/>
      <c r="C55" s="798">
        <f>SUM(C4:C54)</f>
        <v>1</v>
      </c>
      <c r="D55" s="797"/>
      <c r="E55" s="804"/>
      <c r="F55" s="805"/>
      <c r="G55" s="806"/>
      <c r="H55" s="805"/>
    </row>
    <row r="56" spans="1:8" ht="18.75">
      <c r="A56" s="1173" t="s">
        <v>443</v>
      </c>
      <c r="B56" s="1173"/>
      <c r="C56" s="1173"/>
      <c r="D56" s="1173"/>
      <c r="E56" s="1173"/>
      <c r="F56" s="1173"/>
      <c r="G56" s="810"/>
      <c r="H56" s="811">
        <f>H9+H20+H24+H32</f>
        <v>0</v>
      </c>
    </row>
    <row r="57" spans="1:8" ht="18.75">
      <c r="A57" s="1173" t="s">
        <v>444</v>
      </c>
      <c r="B57" s="1173"/>
      <c r="C57" s="1173"/>
      <c r="D57" s="1173"/>
      <c r="E57" s="1173"/>
      <c r="F57" s="1173"/>
      <c r="G57" s="810"/>
      <c r="H57" s="811" t="str">
        <f>IF(H56&lt;=0.65,"низький",IF(H56&lt;=0.75,"середній",IF(H56&lt;=0.95,"достатній","високий")))</f>
        <v>низький</v>
      </c>
    </row>
    <row r="58" spans="1:8">
      <c r="C58" s="378"/>
    </row>
    <row r="59" spans="1:8" s="302" customFormat="1" ht="15.75">
      <c r="A59" s="288" t="s">
        <v>182</v>
      </c>
      <c r="B59" s="289"/>
      <c r="C59" s="342"/>
      <c r="E59" s="343"/>
      <c r="F59" s="344"/>
      <c r="G59" s="112"/>
    </row>
    <row r="60" spans="1:8" s="302" customFormat="1" ht="17.25">
      <c r="A60" s="345" t="s">
        <v>589</v>
      </c>
      <c r="B60" s="346"/>
      <c r="C60" s="347"/>
      <c r="D60" s="303"/>
      <c r="E60" s="348"/>
      <c r="F60" s="349"/>
      <c r="G60" s="112"/>
    </row>
    <row r="61" spans="1:8" s="302" customFormat="1" ht="17.25">
      <c r="A61" s="345" t="s">
        <v>590</v>
      </c>
      <c r="B61" s="346"/>
      <c r="C61" s="347"/>
      <c r="D61" s="303"/>
      <c r="E61" s="348"/>
      <c r="F61" s="349"/>
      <c r="G61" s="112"/>
    </row>
    <row r="62" spans="1:8" s="302" customFormat="1" ht="17.25">
      <c r="A62" s="345" t="s">
        <v>591</v>
      </c>
      <c r="B62" s="346"/>
      <c r="C62" s="347"/>
      <c r="D62" s="303"/>
      <c r="E62" s="348"/>
      <c r="F62" s="349"/>
      <c r="G62" s="112"/>
    </row>
    <row r="63" spans="1:8" s="302" customFormat="1" ht="17.25">
      <c r="A63" s="345" t="s">
        <v>592</v>
      </c>
      <c r="B63" s="346"/>
      <c r="C63" s="347"/>
      <c r="D63" s="303"/>
      <c r="E63" s="348"/>
      <c r="F63" s="349"/>
      <c r="G63" s="112"/>
    </row>
    <row r="64" spans="1:8" s="302" customFormat="1" ht="17.25">
      <c r="A64" s="345" t="s">
        <v>593</v>
      </c>
      <c r="B64" s="346"/>
      <c r="C64" s="347"/>
      <c r="D64" s="303"/>
      <c r="E64" s="348"/>
      <c r="F64" s="349"/>
      <c r="G64" s="112"/>
    </row>
    <row r="65" spans="1:7" s="302" customFormat="1" ht="17.25">
      <c r="A65" s="345" t="s">
        <v>594</v>
      </c>
      <c r="B65" s="346"/>
      <c r="C65" s="347"/>
      <c r="D65" s="303"/>
      <c r="E65" s="348"/>
      <c r="F65" s="349"/>
      <c r="G65" s="112"/>
    </row>
    <row r="66" spans="1:7" s="302" customFormat="1" ht="17.25">
      <c r="A66" s="345" t="s">
        <v>595</v>
      </c>
      <c r="B66" s="346"/>
      <c r="C66" s="347"/>
      <c r="D66" s="303"/>
      <c r="E66" s="348"/>
      <c r="F66" s="349"/>
      <c r="G66" s="112"/>
    </row>
    <row r="67" spans="1:7" s="302" customFormat="1" ht="15.75">
      <c r="A67" s="350" t="s">
        <v>596</v>
      </c>
      <c r="B67" s="346"/>
      <c r="C67" s="347"/>
      <c r="D67" s="303"/>
      <c r="E67" s="348"/>
      <c r="F67" s="349"/>
      <c r="G67" s="112"/>
    </row>
    <row r="68" spans="1:7" s="302" customFormat="1" ht="15.75">
      <c r="A68" s="345" t="s">
        <v>597</v>
      </c>
      <c r="B68" s="346"/>
      <c r="C68" s="347"/>
      <c r="D68" s="303"/>
      <c r="E68" s="348"/>
      <c r="F68" s="349"/>
      <c r="G68" s="112"/>
    </row>
    <row r="69" spans="1:7" s="302" customFormat="1" ht="15.75">
      <c r="A69" s="288" t="s">
        <v>792</v>
      </c>
      <c r="B69" s="346"/>
      <c r="C69" s="347"/>
      <c r="D69" s="303"/>
      <c r="E69" s="348"/>
      <c r="F69" s="349"/>
      <c r="G69" s="112"/>
    </row>
    <row r="70" spans="1:7" s="302" customFormat="1" ht="15.75">
      <c r="A70" s="288" t="s">
        <v>793</v>
      </c>
      <c r="B70" s="346"/>
      <c r="C70" s="347"/>
      <c r="D70" s="303"/>
      <c r="E70" s="348"/>
      <c r="F70" s="349"/>
      <c r="G70" s="112"/>
    </row>
    <row r="71" spans="1:7" s="302" customFormat="1" ht="15.75">
      <c r="A71" s="288" t="s">
        <v>794</v>
      </c>
      <c r="B71" s="346"/>
      <c r="C71" s="347"/>
      <c r="D71" s="303"/>
      <c r="E71" s="348"/>
      <c r="F71" s="349"/>
      <c r="G71" s="112"/>
    </row>
    <row r="72" spans="1:7" s="302" customFormat="1" ht="15.75">
      <c r="A72" s="342"/>
      <c r="B72" s="342" t="s">
        <v>20</v>
      </c>
      <c r="C72" s="342"/>
      <c r="D72" s="342"/>
      <c r="E72" s="342"/>
      <c r="F72" s="342"/>
      <c r="G72" s="342"/>
    </row>
    <row r="73" spans="1:7" s="302" customFormat="1" ht="15.75">
      <c r="A73" s="351"/>
      <c r="B73" s="351"/>
      <c r="C73" s="351"/>
      <c r="D73" s="351"/>
      <c r="E73" s="351"/>
      <c r="F73" s="351"/>
      <c r="G73" s="351"/>
    </row>
    <row r="74" spans="1:7" s="302" customFormat="1" ht="15.75">
      <c r="A74" s="351"/>
      <c r="B74" s="351"/>
      <c r="C74" s="351"/>
      <c r="D74" s="351"/>
      <c r="E74" s="351"/>
      <c r="F74" s="351"/>
      <c r="G74" s="351"/>
    </row>
    <row r="75" spans="1:7" s="302" customFormat="1" ht="15.75">
      <c r="A75" s="351"/>
      <c r="B75" s="351"/>
      <c r="C75" s="351"/>
      <c r="D75" s="351"/>
      <c r="E75" s="351"/>
      <c r="F75" s="351"/>
      <c r="G75" s="351"/>
    </row>
    <row r="76" spans="1:7" s="302" customFormat="1" ht="15.75">
      <c r="A76" s="351"/>
      <c r="B76" s="351"/>
      <c r="C76" s="351"/>
      <c r="D76" s="351"/>
      <c r="E76" s="351"/>
      <c r="F76" s="351"/>
      <c r="G76" s="351"/>
    </row>
    <row r="77" spans="1:7" s="302" customFormat="1" ht="15.75">
      <c r="A77" s="351"/>
      <c r="B77" s="351"/>
      <c r="C77" s="351"/>
      <c r="D77" s="351"/>
      <c r="E77" s="351"/>
      <c r="F77" s="351"/>
      <c r="G77" s="351"/>
    </row>
    <row r="78" spans="1:7" s="302" customFormat="1" ht="15.75">
      <c r="A78" s="351"/>
      <c r="B78" s="351"/>
      <c r="C78" s="351"/>
      <c r="D78" s="351"/>
      <c r="E78" s="351"/>
      <c r="F78" s="351"/>
      <c r="G78" s="351"/>
    </row>
    <row r="79" spans="1:7" s="302" customFormat="1" ht="15.75">
      <c r="A79" s="351"/>
      <c r="B79" s="351"/>
      <c r="C79" s="351"/>
      <c r="D79" s="351"/>
      <c r="E79" s="351"/>
      <c r="F79" s="351"/>
      <c r="G79" s="351"/>
    </row>
    <row r="80" spans="1:7" s="302" customFormat="1" ht="15.75">
      <c r="A80" s="351"/>
      <c r="B80" s="351"/>
      <c r="C80" s="351"/>
      <c r="D80" s="351"/>
      <c r="E80" s="351"/>
      <c r="F80" s="351"/>
      <c r="G80" s="351"/>
    </row>
    <row r="81" spans="1:7" s="302" customFormat="1" ht="15.75">
      <c r="A81" s="351"/>
      <c r="B81" s="351"/>
      <c r="C81" s="351"/>
      <c r="D81" s="351"/>
      <c r="E81" s="351"/>
      <c r="F81" s="351"/>
      <c r="G81" s="351"/>
    </row>
    <row r="82" spans="1:7" s="302" customFormat="1" ht="15.75">
      <c r="A82" s="351"/>
      <c r="B82" s="351"/>
      <c r="C82" s="351"/>
      <c r="D82" s="351"/>
      <c r="E82" s="351"/>
      <c r="F82" s="351"/>
      <c r="G82" s="351"/>
    </row>
    <row r="83" spans="1:7" s="302" customFormat="1" ht="15.75">
      <c r="A83" s="351"/>
      <c r="B83" s="351"/>
      <c r="C83" s="351"/>
      <c r="D83" s="351"/>
      <c r="E83" s="351"/>
      <c r="F83" s="351"/>
      <c r="G83" s="351"/>
    </row>
    <row r="84" spans="1:7" s="302" customFormat="1" ht="15.75">
      <c r="A84" s="351"/>
      <c r="B84" s="351"/>
      <c r="C84" s="351"/>
      <c r="D84" s="351"/>
      <c r="E84" s="351"/>
      <c r="F84" s="351"/>
      <c r="G84" s="351"/>
    </row>
    <row r="85" spans="1:7" s="302" customFormat="1" ht="15.75">
      <c r="A85" s="351"/>
      <c r="B85" s="351"/>
      <c r="C85" s="351"/>
      <c r="D85" s="351"/>
      <c r="E85" s="351"/>
      <c r="F85" s="351"/>
      <c r="G85" s="351"/>
    </row>
    <row r="86" spans="1:7" s="302" customFormat="1" ht="15.75">
      <c r="A86" s="351"/>
      <c r="B86" s="351"/>
      <c r="C86" s="351"/>
      <c r="D86" s="351"/>
      <c r="E86" s="351"/>
      <c r="F86" s="351"/>
      <c r="G86" s="351"/>
    </row>
    <row r="87" spans="1:7" s="302" customFormat="1" ht="15.75">
      <c r="A87" s="342"/>
      <c r="B87" s="352" t="s">
        <v>2418</v>
      </c>
      <c r="C87" s="352"/>
      <c r="D87" s="352"/>
      <c r="E87" s="352"/>
      <c r="F87" s="352"/>
      <c r="G87" s="352"/>
    </row>
    <row r="88" spans="1:7" s="302" customFormat="1" ht="15.75">
      <c r="A88" s="342"/>
      <c r="B88" s="353"/>
      <c r="C88" s="353"/>
      <c r="D88" s="353"/>
      <c r="E88" s="353"/>
      <c r="F88" s="353"/>
      <c r="G88" s="353"/>
    </row>
    <row r="89" spans="1:7" s="302" customFormat="1" ht="15.75">
      <c r="A89" s="342"/>
      <c r="B89" s="352" t="s">
        <v>22</v>
      </c>
      <c r="C89" s="352"/>
      <c r="D89" s="352"/>
      <c r="E89" s="352"/>
      <c r="F89" s="352"/>
      <c r="G89" s="352"/>
    </row>
    <row r="90" spans="1:7" s="302" customFormat="1" ht="15.75">
      <c r="A90" s="342"/>
      <c r="B90" s="353"/>
      <c r="C90" s="353"/>
      <c r="D90" s="353"/>
      <c r="E90" s="353"/>
      <c r="F90" s="353"/>
      <c r="G90" s="353"/>
    </row>
    <row r="91" spans="1:7" s="302" customFormat="1" ht="15.75">
      <c r="A91" s="342"/>
      <c r="B91" s="352" t="s">
        <v>23</v>
      </c>
      <c r="C91" s="352"/>
      <c r="D91" s="352"/>
      <c r="E91" s="352"/>
      <c r="F91" s="352"/>
      <c r="G91" s="352"/>
    </row>
    <row r="92" spans="1:7" s="302" customFormat="1" ht="15.75">
      <c r="A92" s="342"/>
      <c r="B92" s="352" t="s">
        <v>24</v>
      </c>
      <c r="C92" s="352"/>
      <c r="D92" s="352"/>
      <c r="E92" s="352"/>
      <c r="F92" s="352"/>
      <c r="G92" s="352"/>
    </row>
    <row r="93" spans="1:7" s="303" customFormat="1" ht="15.75">
      <c r="A93" s="346"/>
      <c r="B93" s="346"/>
      <c r="E93" s="333"/>
    </row>
    <row r="94" spans="1:7" s="101" customFormat="1" ht="15.75">
      <c r="A94" s="290"/>
      <c r="B94" s="289"/>
      <c r="C94" s="63"/>
      <c r="E94" s="63"/>
    </row>
    <row r="95" spans="1:7" s="101" customFormat="1" ht="15.75">
      <c r="A95" s="290"/>
      <c r="B95" s="289"/>
      <c r="C95" s="63"/>
      <c r="E95" s="63"/>
    </row>
    <row r="96" spans="1:7" s="101" customFormat="1" ht="15.75">
      <c r="A96" s="290"/>
      <c r="B96" s="289"/>
      <c r="C96" s="63"/>
      <c r="E96" s="63"/>
    </row>
  </sheetData>
  <mergeCells count="21">
    <mergeCell ref="A10:A20"/>
    <mergeCell ref="B10:B20"/>
    <mergeCell ref="C10:C20"/>
    <mergeCell ref="A2:H2"/>
    <mergeCell ref="A4:A9"/>
    <mergeCell ref="B4:B9"/>
    <mergeCell ref="C4:C9"/>
    <mergeCell ref="A21:A24"/>
    <mergeCell ref="B21:B24"/>
    <mergeCell ref="C21:C24"/>
    <mergeCell ref="A25:A32"/>
    <mergeCell ref="B25:B32"/>
    <mergeCell ref="C25:C32"/>
    <mergeCell ref="A33:A43"/>
    <mergeCell ref="B33:B43"/>
    <mergeCell ref="C33:C43"/>
    <mergeCell ref="A56:F56"/>
    <mergeCell ref="A57:F57"/>
    <mergeCell ref="A44:A54"/>
    <mergeCell ref="B44:B54"/>
    <mergeCell ref="C44:C54"/>
  </mergeCells>
  <phoneticPr fontId="4" type="noConversion"/>
  <pageMargins left="0.7" right="0.7" top="0.75" bottom="0.75" header="0.3" footer="0.3"/>
  <pageSetup paperSize="9" scale="60" orientation="portrait" r:id="rId1"/>
</worksheet>
</file>

<file path=xl/worksheets/sheet11.xml><?xml version="1.0" encoding="utf-8"?>
<worksheet xmlns="http://schemas.openxmlformats.org/spreadsheetml/2006/main" xmlns:r="http://schemas.openxmlformats.org/officeDocument/2006/relationships">
  <dimension ref="A1:I91"/>
  <sheetViews>
    <sheetView zoomScale="90" zoomScaleNormal="90" workbookViewId="0">
      <selection activeCell="C4" sqref="C4:C5"/>
    </sheetView>
  </sheetViews>
  <sheetFormatPr defaultRowHeight="18"/>
  <cols>
    <col min="1" max="1" width="6.85546875" style="380" customWidth="1"/>
    <col min="2" max="2" width="28.5703125" style="380" customWidth="1"/>
    <col min="3" max="3" width="9.140625" style="855"/>
    <col min="4" max="4" width="76.7109375" style="856" customWidth="1"/>
    <col min="5" max="5" width="11.85546875" style="857" customWidth="1"/>
    <col min="6" max="6" width="15.42578125" style="858" customWidth="1"/>
    <col min="7" max="7" width="13.85546875" style="858" customWidth="1"/>
    <col min="8" max="8" width="11.85546875" style="735" customWidth="1"/>
    <col min="9" max="9" width="9.140625" hidden="1" customWidth="1"/>
  </cols>
  <sheetData>
    <row r="1" spans="1:9" s="273" customFormat="1" ht="15.75" customHeight="1">
      <c r="A1" s="1186" t="s">
        <v>446</v>
      </c>
      <c r="B1" s="1186"/>
      <c r="C1" s="1186"/>
      <c r="D1" s="1186"/>
      <c r="E1" s="1186"/>
      <c r="F1" s="1186"/>
      <c r="G1" s="1186"/>
    </row>
    <row r="2" spans="1:9" s="273" customFormat="1" ht="39" customHeight="1">
      <c r="A2" s="1186" t="s">
        <v>1432</v>
      </c>
      <c r="B2" s="1186"/>
      <c r="C2" s="1186"/>
      <c r="D2" s="1186"/>
      <c r="E2" s="1186"/>
      <c r="F2" s="1186"/>
      <c r="G2" s="1186"/>
    </row>
    <row r="3" spans="1:9" s="273" customFormat="1" ht="16.5" thickBot="1">
      <c r="B3" s="274"/>
      <c r="C3" s="275"/>
      <c r="D3" s="8"/>
      <c r="E3" s="276"/>
      <c r="G3" s="275"/>
    </row>
    <row r="4" spans="1:9" ht="115.5" customHeight="1" thickBot="1">
      <c r="A4" s="1187"/>
      <c r="B4" s="1187" t="s">
        <v>1652</v>
      </c>
      <c r="C4" s="1190" t="s">
        <v>1696</v>
      </c>
      <c r="D4" s="1187" t="s">
        <v>333</v>
      </c>
      <c r="E4" s="1188" t="s">
        <v>1697</v>
      </c>
      <c r="F4" s="1189" t="s">
        <v>399</v>
      </c>
      <c r="G4" s="1189" t="s">
        <v>1446</v>
      </c>
      <c r="I4" s="835"/>
    </row>
    <row r="5" spans="1:9" ht="16.5" hidden="1" thickBot="1">
      <c r="A5" s="1187"/>
      <c r="B5" s="1187"/>
      <c r="C5" s="1190"/>
      <c r="D5" s="1187"/>
      <c r="E5" s="1188"/>
      <c r="F5" s="1189"/>
      <c r="G5" s="1189"/>
      <c r="I5" s="836"/>
    </row>
    <row r="6" spans="1:9" ht="66" customHeight="1">
      <c r="A6" s="1180">
        <v>1</v>
      </c>
      <c r="B6" s="1183" t="s">
        <v>1433</v>
      </c>
      <c r="C6" s="1177"/>
      <c r="D6" s="838" t="s">
        <v>1698</v>
      </c>
      <c r="E6" s="837">
        <v>0.25</v>
      </c>
      <c r="F6" s="839"/>
      <c r="G6" s="840">
        <f>E6*F6</f>
        <v>0</v>
      </c>
      <c r="I6" s="841"/>
    </row>
    <row r="7" spans="1:9" ht="96.75" customHeight="1">
      <c r="A7" s="1181"/>
      <c r="B7" s="1184"/>
      <c r="C7" s="1177"/>
      <c r="D7" s="623" t="s">
        <v>2136</v>
      </c>
      <c r="E7" s="814">
        <v>0.42</v>
      </c>
      <c r="F7" s="624"/>
      <c r="G7" s="814">
        <f>E7*F7</f>
        <v>0</v>
      </c>
      <c r="I7" s="842"/>
    </row>
    <row r="8" spans="1:9" ht="80.25" customHeight="1">
      <c r="A8" s="1182"/>
      <c r="B8" s="1185"/>
      <c r="C8" s="1177"/>
      <c r="D8" s="623" t="s">
        <v>1699</v>
      </c>
      <c r="E8" s="814">
        <v>0.33</v>
      </c>
      <c r="F8" s="624"/>
      <c r="G8" s="814">
        <f t="shared" ref="G8:G54" si="0">E8*F8</f>
        <v>0</v>
      </c>
      <c r="I8" s="842"/>
    </row>
    <row r="9" spans="1:9" ht="19.5" thickBot="1">
      <c r="A9" s="797"/>
      <c r="B9" s="797"/>
      <c r="C9" s="814">
        <v>7.0000000000000007E-2</v>
      </c>
      <c r="D9" s="625"/>
      <c r="E9" s="843">
        <f>SUM(E6:E8)</f>
        <v>1</v>
      </c>
      <c r="F9" s="624"/>
      <c r="G9" s="843">
        <f>C9*SUM(G6:G8)</f>
        <v>0</v>
      </c>
      <c r="I9" s="844"/>
    </row>
    <row r="10" spans="1:9" ht="57" thickBot="1">
      <c r="A10" s="1176">
        <v>2</v>
      </c>
      <c r="B10" s="1176" t="s">
        <v>1434</v>
      </c>
      <c r="C10" s="1177"/>
      <c r="D10" s="623" t="s">
        <v>1700</v>
      </c>
      <c r="E10" s="814">
        <v>0.17</v>
      </c>
      <c r="F10" s="624"/>
      <c r="G10" s="814">
        <f t="shared" si="0"/>
        <v>0</v>
      </c>
      <c r="I10" s="844"/>
    </row>
    <row r="11" spans="1:9" ht="24" customHeight="1" thickBot="1">
      <c r="A11" s="1176"/>
      <c r="B11" s="1176"/>
      <c r="C11" s="1177"/>
      <c r="D11" s="623" t="s">
        <v>1701</v>
      </c>
      <c r="E11" s="624">
        <v>0.33</v>
      </c>
      <c r="F11" s="624"/>
      <c r="G11" s="624">
        <f t="shared" si="0"/>
        <v>0</v>
      </c>
      <c r="I11" s="844"/>
    </row>
    <row r="12" spans="1:9" ht="75.75" thickBot="1">
      <c r="A12" s="1176"/>
      <c r="B12" s="1176"/>
      <c r="C12" s="1177"/>
      <c r="D12" s="623" t="s">
        <v>1702</v>
      </c>
      <c r="E12" s="814">
        <v>0.5</v>
      </c>
      <c r="F12" s="624"/>
      <c r="G12" s="814">
        <f t="shared" si="0"/>
        <v>0</v>
      </c>
      <c r="I12" s="844"/>
    </row>
    <row r="13" spans="1:9" ht="19.5" thickBot="1">
      <c r="A13" s="797"/>
      <c r="B13" s="797"/>
      <c r="C13" s="814">
        <v>0.12</v>
      </c>
      <c r="D13" s="625"/>
      <c r="E13" s="843">
        <f>SUM(E10:E12)</f>
        <v>1</v>
      </c>
      <c r="F13" s="624"/>
      <c r="G13" s="843">
        <f>C13*SUM(G10:G12)</f>
        <v>0</v>
      </c>
      <c r="I13" s="845"/>
    </row>
    <row r="14" spans="1:9" ht="56.25">
      <c r="A14" s="1176">
        <v>3</v>
      </c>
      <c r="B14" s="1176" t="s">
        <v>1703</v>
      </c>
      <c r="C14" s="1177"/>
      <c r="D14" s="623" t="s">
        <v>1704</v>
      </c>
      <c r="E14" s="814">
        <v>0.5</v>
      </c>
      <c r="F14" s="624"/>
      <c r="G14" s="814">
        <f t="shared" si="0"/>
        <v>0</v>
      </c>
      <c r="I14" s="841"/>
    </row>
    <row r="15" spans="1:9" ht="63.75" customHeight="1" thickBot="1">
      <c r="A15" s="1176"/>
      <c r="B15" s="1176"/>
      <c r="C15" s="1177"/>
      <c r="D15" s="623" t="s">
        <v>1705</v>
      </c>
      <c r="E15" s="814">
        <v>0.5</v>
      </c>
      <c r="F15" s="624"/>
      <c r="G15" s="814">
        <f t="shared" si="0"/>
        <v>0</v>
      </c>
      <c r="I15" s="842"/>
    </row>
    <row r="16" spans="1:9" ht="19.5" thickBot="1">
      <c r="A16" s="797"/>
      <c r="B16" s="797"/>
      <c r="C16" s="814">
        <v>0.02</v>
      </c>
      <c r="D16" s="625"/>
      <c r="E16" s="843">
        <f>SUM(E14:E15)</f>
        <v>1</v>
      </c>
      <c r="F16" s="624"/>
      <c r="G16" s="843">
        <f>C16*SUM(G14:G15)</f>
        <v>0</v>
      </c>
      <c r="I16" s="846"/>
    </row>
    <row r="17" spans="1:9" ht="37.5">
      <c r="A17" s="1176">
        <v>4</v>
      </c>
      <c r="B17" s="1176" t="s">
        <v>1436</v>
      </c>
      <c r="C17" s="1177"/>
      <c r="D17" s="623" t="s">
        <v>1706</v>
      </c>
      <c r="E17" s="814">
        <v>0.1</v>
      </c>
      <c r="F17" s="624"/>
      <c r="G17" s="814">
        <f t="shared" si="0"/>
        <v>0</v>
      </c>
      <c r="I17" s="847"/>
    </row>
    <row r="18" spans="1:9" ht="37.5">
      <c r="A18" s="1176"/>
      <c r="B18" s="1176"/>
      <c r="C18" s="1177"/>
      <c r="D18" s="623" t="s">
        <v>1707</v>
      </c>
      <c r="E18" s="814">
        <v>0.1</v>
      </c>
      <c r="F18" s="624"/>
      <c r="G18" s="814">
        <f t="shared" si="0"/>
        <v>0</v>
      </c>
      <c r="I18" s="847"/>
    </row>
    <row r="19" spans="1:9" ht="18.75">
      <c r="A19" s="1176"/>
      <c r="B19" s="1176"/>
      <c r="C19" s="1177"/>
      <c r="D19" s="623" t="s">
        <v>1708</v>
      </c>
      <c r="E19" s="814">
        <v>0.1</v>
      </c>
      <c r="F19" s="624"/>
      <c r="G19" s="814">
        <f t="shared" si="0"/>
        <v>0</v>
      </c>
      <c r="I19" s="847"/>
    </row>
    <row r="20" spans="1:9" ht="18.75">
      <c r="A20" s="1176"/>
      <c r="B20" s="1176"/>
      <c r="C20" s="1177"/>
      <c r="D20" s="623" t="s">
        <v>1709</v>
      </c>
      <c r="E20" s="814">
        <v>0.1</v>
      </c>
      <c r="F20" s="624"/>
      <c r="G20" s="814">
        <f t="shared" si="0"/>
        <v>0</v>
      </c>
      <c r="I20" s="847"/>
    </row>
    <row r="21" spans="1:9" ht="37.5">
      <c r="A21" s="1176"/>
      <c r="B21" s="1176"/>
      <c r="C21" s="1177"/>
      <c r="D21" s="623" t="s">
        <v>1710</v>
      </c>
      <c r="E21" s="814">
        <v>0.1</v>
      </c>
      <c r="F21" s="624"/>
      <c r="G21" s="814">
        <f t="shared" si="0"/>
        <v>0</v>
      </c>
      <c r="I21" s="847"/>
    </row>
    <row r="22" spans="1:9" ht="37.5">
      <c r="A22" s="1176"/>
      <c r="B22" s="1176"/>
      <c r="C22" s="1177"/>
      <c r="D22" s="623" t="s">
        <v>1711</v>
      </c>
      <c r="E22" s="814">
        <v>0.1</v>
      </c>
      <c r="F22" s="624"/>
      <c r="G22" s="814">
        <f t="shared" si="0"/>
        <v>0</v>
      </c>
      <c r="I22" s="847"/>
    </row>
    <row r="23" spans="1:9" ht="18.75">
      <c r="A23" s="1176"/>
      <c r="B23" s="1176"/>
      <c r="C23" s="1177"/>
      <c r="D23" s="623" t="s">
        <v>1712</v>
      </c>
      <c r="E23" s="814">
        <v>0.05</v>
      </c>
      <c r="F23" s="624"/>
      <c r="G23" s="814">
        <f t="shared" si="0"/>
        <v>0</v>
      </c>
      <c r="I23" s="847"/>
    </row>
    <row r="24" spans="1:9" ht="37.5">
      <c r="A24" s="1176"/>
      <c r="B24" s="1176"/>
      <c r="C24" s="1177"/>
      <c r="D24" s="623" t="s">
        <v>1713</v>
      </c>
      <c r="E24" s="814">
        <v>0.1</v>
      </c>
      <c r="F24" s="624"/>
      <c r="G24" s="814">
        <f t="shared" si="0"/>
        <v>0</v>
      </c>
      <c r="I24" s="847"/>
    </row>
    <row r="25" spans="1:9" ht="18.75">
      <c r="A25" s="1176"/>
      <c r="B25" s="1176"/>
      <c r="C25" s="1177"/>
      <c r="D25" s="623" t="s">
        <v>1714</v>
      </c>
      <c r="E25" s="814">
        <v>0.1</v>
      </c>
      <c r="F25" s="624"/>
      <c r="G25" s="814">
        <f t="shared" si="0"/>
        <v>0</v>
      </c>
      <c r="I25" s="847"/>
    </row>
    <row r="26" spans="1:9" ht="37.5">
      <c r="A26" s="1176"/>
      <c r="B26" s="1176"/>
      <c r="C26" s="1177"/>
      <c r="D26" s="623" t="s">
        <v>1437</v>
      </c>
      <c r="E26" s="814">
        <v>0.15</v>
      </c>
      <c r="F26" s="624"/>
      <c r="G26" s="814">
        <f t="shared" si="0"/>
        <v>0</v>
      </c>
      <c r="I26" s="847"/>
    </row>
    <row r="27" spans="1:9" ht="19.5" thickBot="1">
      <c r="A27" s="797"/>
      <c r="B27" s="797"/>
      <c r="C27" s="814">
        <v>0.13</v>
      </c>
      <c r="D27" s="625"/>
      <c r="E27" s="843">
        <f>SUM(E17:E26)</f>
        <v>1</v>
      </c>
      <c r="F27" s="624"/>
      <c r="G27" s="843">
        <f>C27*SUM(G17:G26)</f>
        <v>0</v>
      </c>
      <c r="I27" s="844"/>
    </row>
    <row r="28" spans="1:9" ht="56.25">
      <c r="A28" s="1176">
        <v>5</v>
      </c>
      <c r="B28" s="1176" t="s">
        <v>418</v>
      </c>
      <c r="C28" s="1177"/>
      <c r="D28" s="623" t="s">
        <v>1715</v>
      </c>
      <c r="E28" s="814">
        <v>0.38</v>
      </c>
      <c r="F28" s="624"/>
      <c r="G28" s="814">
        <f t="shared" si="0"/>
        <v>0</v>
      </c>
      <c r="I28" s="841"/>
    </row>
    <row r="29" spans="1:9" ht="37.5">
      <c r="A29" s="1176"/>
      <c r="B29" s="1176"/>
      <c r="C29" s="1177"/>
      <c r="D29" s="623" t="s">
        <v>1716</v>
      </c>
      <c r="E29" s="814">
        <v>0.21</v>
      </c>
      <c r="F29" s="624"/>
      <c r="G29" s="814">
        <f t="shared" si="0"/>
        <v>0</v>
      </c>
      <c r="I29" s="842"/>
    </row>
    <row r="30" spans="1:9" ht="94.5" customHeight="1" thickBot="1">
      <c r="A30" s="1176"/>
      <c r="B30" s="1176"/>
      <c r="C30" s="1177"/>
      <c r="D30" s="848" t="s">
        <v>1717</v>
      </c>
      <c r="E30" s="814">
        <v>0.41</v>
      </c>
      <c r="F30" s="624"/>
      <c r="G30" s="814">
        <f t="shared" si="0"/>
        <v>0</v>
      </c>
      <c r="I30" s="842"/>
    </row>
    <row r="31" spans="1:9" ht="19.5" thickBot="1">
      <c r="A31" s="797"/>
      <c r="B31" s="797"/>
      <c r="C31" s="814">
        <v>0.15</v>
      </c>
      <c r="D31" s="625"/>
      <c r="E31" s="843">
        <f>SUM(E28:E30)</f>
        <v>1</v>
      </c>
      <c r="F31" s="624"/>
      <c r="G31" s="843">
        <f>C31*SUM(G28:G30)</f>
        <v>0</v>
      </c>
      <c r="I31" s="846"/>
    </row>
    <row r="32" spans="1:9" ht="112.5">
      <c r="A32" s="1176">
        <v>6</v>
      </c>
      <c r="B32" s="1176" t="s">
        <v>1438</v>
      </c>
      <c r="C32" s="1177"/>
      <c r="D32" s="623" t="s">
        <v>1718</v>
      </c>
      <c r="E32" s="814">
        <v>0.33</v>
      </c>
      <c r="F32" s="624"/>
      <c r="G32" s="814">
        <f t="shared" si="0"/>
        <v>0</v>
      </c>
      <c r="I32" s="847"/>
    </row>
    <row r="33" spans="1:9" ht="56.25" customHeight="1">
      <c r="A33" s="1176"/>
      <c r="B33" s="1176"/>
      <c r="C33" s="1177"/>
      <c r="D33" s="623" t="s">
        <v>1719</v>
      </c>
      <c r="E33" s="814">
        <v>0.28999999999999998</v>
      </c>
      <c r="F33" s="624"/>
      <c r="G33" s="814">
        <f t="shared" si="0"/>
        <v>0</v>
      </c>
      <c r="I33" s="847"/>
    </row>
    <row r="34" spans="1:9" ht="73.5" customHeight="1" thickBot="1">
      <c r="A34" s="1176"/>
      <c r="B34" s="1176"/>
      <c r="C34" s="1177"/>
      <c r="D34" s="623" t="s">
        <v>1720</v>
      </c>
      <c r="E34" s="814">
        <v>0.38</v>
      </c>
      <c r="F34" s="624"/>
      <c r="G34" s="814">
        <f t="shared" si="0"/>
        <v>0</v>
      </c>
      <c r="I34" s="847"/>
    </row>
    <row r="35" spans="1:9" ht="19.5" thickBot="1">
      <c r="A35" s="797"/>
      <c r="B35" s="797"/>
      <c r="C35" s="814">
        <v>0.13</v>
      </c>
      <c r="D35" s="625"/>
      <c r="E35" s="843">
        <f>SUM(E32:E34)</f>
        <v>1</v>
      </c>
      <c r="F35" s="624"/>
      <c r="G35" s="843">
        <f>C35*SUM(G32:G34)</f>
        <v>0</v>
      </c>
      <c r="I35" s="846"/>
    </row>
    <row r="36" spans="1:9" ht="25.5" customHeight="1">
      <c r="A36" s="1176">
        <v>7</v>
      </c>
      <c r="B36" s="1176" t="s">
        <v>1439</v>
      </c>
      <c r="C36" s="1177"/>
      <c r="D36" s="849" t="s">
        <v>1721</v>
      </c>
      <c r="E36" s="814">
        <v>0.12</v>
      </c>
      <c r="F36" s="624"/>
      <c r="G36" s="814">
        <f t="shared" si="0"/>
        <v>0</v>
      </c>
      <c r="I36" s="1178"/>
    </row>
    <row r="37" spans="1:9" ht="22.5" customHeight="1">
      <c r="A37" s="1176"/>
      <c r="B37" s="1176"/>
      <c r="C37" s="1177"/>
      <c r="D37" s="623" t="s">
        <v>1722</v>
      </c>
      <c r="E37" s="814">
        <v>0.28000000000000003</v>
      </c>
      <c r="F37" s="624"/>
      <c r="G37" s="814">
        <f t="shared" si="0"/>
        <v>0</v>
      </c>
      <c r="I37" s="1179"/>
    </row>
    <row r="38" spans="1:9" ht="56.25">
      <c r="A38" s="1176"/>
      <c r="B38" s="1176"/>
      <c r="C38" s="1177"/>
      <c r="D38" s="623" t="s">
        <v>1723</v>
      </c>
      <c r="E38" s="814">
        <v>0.32</v>
      </c>
      <c r="F38" s="624"/>
      <c r="G38" s="814">
        <f t="shared" si="0"/>
        <v>0</v>
      </c>
      <c r="I38" s="1179"/>
    </row>
    <row r="39" spans="1:9" ht="56.25">
      <c r="A39" s="1176"/>
      <c r="B39" s="1176"/>
      <c r="C39" s="1177"/>
      <c r="D39" s="851" t="s">
        <v>1724</v>
      </c>
      <c r="E39" s="814">
        <v>0.2</v>
      </c>
      <c r="F39" s="624"/>
      <c r="G39" s="814">
        <f t="shared" si="0"/>
        <v>0</v>
      </c>
      <c r="I39" s="1179"/>
    </row>
    <row r="40" spans="1:9" ht="27.75" customHeight="1">
      <c r="A40" s="1176"/>
      <c r="B40" s="1176"/>
      <c r="C40" s="1177"/>
      <c r="D40" s="852" t="s">
        <v>1725</v>
      </c>
      <c r="E40" s="814">
        <v>0.08</v>
      </c>
      <c r="F40" s="624"/>
      <c r="G40" s="814">
        <f t="shared" si="0"/>
        <v>0</v>
      </c>
      <c r="I40" s="1179"/>
    </row>
    <row r="41" spans="1:9" ht="18.75">
      <c r="A41" s="797"/>
      <c r="B41" s="797"/>
      <c r="C41" s="814">
        <v>0.12</v>
      </c>
      <c r="D41" s="625"/>
      <c r="E41" s="843">
        <f>SUM(E36:E40)</f>
        <v>0.99999999999999989</v>
      </c>
      <c r="F41" s="624"/>
      <c r="G41" s="843">
        <f>C41*SUM(G36:G40)</f>
        <v>0</v>
      </c>
      <c r="I41" s="850"/>
    </row>
    <row r="42" spans="1:9" ht="56.25">
      <c r="A42" s="1176">
        <v>8</v>
      </c>
      <c r="B42" s="1176" t="s">
        <v>1440</v>
      </c>
      <c r="C42" s="1177"/>
      <c r="D42" s="625" t="s">
        <v>1726</v>
      </c>
      <c r="E42" s="814">
        <v>0.08</v>
      </c>
      <c r="F42" s="624"/>
      <c r="G42" s="814">
        <f t="shared" si="0"/>
        <v>0</v>
      </c>
      <c r="I42" s="847"/>
    </row>
    <row r="43" spans="1:9" ht="60.75" customHeight="1">
      <c r="A43" s="1176"/>
      <c r="B43" s="1176"/>
      <c r="C43" s="1177"/>
      <c r="D43" s="623" t="s">
        <v>1727</v>
      </c>
      <c r="E43" s="814">
        <v>0.12</v>
      </c>
      <c r="F43" s="624"/>
      <c r="G43" s="814">
        <f t="shared" si="0"/>
        <v>0</v>
      </c>
      <c r="I43" s="847"/>
    </row>
    <row r="44" spans="1:9" ht="37.5">
      <c r="A44" s="1176"/>
      <c r="B44" s="1176"/>
      <c r="C44" s="1177"/>
      <c r="D44" s="623" t="s">
        <v>1728</v>
      </c>
      <c r="E44" s="814">
        <v>0.11</v>
      </c>
      <c r="F44" s="624"/>
      <c r="G44" s="814">
        <f t="shared" si="0"/>
        <v>0</v>
      </c>
      <c r="I44" s="847"/>
    </row>
    <row r="45" spans="1:9" ht="56.25">
      <c r="A45" s="1176"/>
      <c r="B45" s="1176"/>
      <c r="C45" s="1177"/>
      <c r="D45" s="623" t="s">
        <v>1729</v>
      </c>
      <c r="E45" s="814">
        <v>0.1</v>
      </c>
      <c r="F45" s="624"/>
      <c r="G45" s="814">
        <f t="shared" si="0"/>
        <v>0</v>
      </c>
      <c r="I45" s="847"/>
    </row>
    <row r="46" spans="1:9" ht="37.5">
      <c r="A46" s="1176"/>
      <c r="B46" s="1176"/>
      <c r="C46" s="1177"/>
      <c r="D46" s="623" t="s">
        <v>1730</v>
      </c>
      <c r="E46" s="814">
        <v>0.14000000000000001</v>
      </c>
      <c r="F46" s="624"/>
      <c r="G46" s="814">
        <f t="shared" si="0"/>
        <v>0</v>
      </c>
      <c r="I46" s="847"/>
    </row>
    <row r="47" spans="1:9" ht="37.5">
      <c r="A47" s="1176"/>
      <c r="B47" s="1176"/>
      <c r="C47" s="1177"/>
      <c r="D47" s="623" t="s">
        <v>1731</v>
      </c>
      <c r="E47" s="814">
        <v>0.14000000000000001</v>
      </c>
      <c r="F47" s="624"/>
      <c r="G47" s="814">
        <f t="shared" si="0"/>
        <v>0</v>
      </c>
      <c r="I47" s="847"/>
    </row>
    <row r="48" spans="1:9" ht="36" customHeight="1">
      <c r="A48" s="1176"/>
      <c r="B48" s="1176"/>
      <c r="C48" s="1177"/>
      <c r="D48" s="623" t="s">
        <v>1732</v>
      </c>
      <c r="E48" s="814">
        <v>0.09</v>
      </c>
      <c r="F48" s="624"/>
      <c r="G48" s="814">
        <f t="shared" si="0"/>
        <v>0</v>
      </c>
      <c r="I48" s="847"/>
    </row>
    <row r="49" spans="1:9" ht="37.5" customHeight="1">
      <c r="A49" s="1176"/>
      <c r="B49" s="1176"/>
      <c r="C49" s="1177"/>
      <c r="D49" s="623" t="s">
        <v>1733</v>
      </c>
      <c r="E49" s="814">
        <v>0.08</v>
      </c>
      <c r="F49" s="624"/>
      <c r="G49" s="814">
        <f t="shared" si="0"/>
        <v>0</v>
      </c>
      <c r="I49" s="847"/>
    </row>
    <row r="50" spans="1:9" ht="37.5">
      <c r="A50" s="1176"/>
      <c r="B50" s="1176"/>
      <c r="C50" s="1177"/>
      <c r="D50" s="623" t="s">
        <v>1734</v>
      </c>
      <c r="E50" s="814">
        <v>0.14000000000000001</v>
      </c>
      <c r="F50" s="624"/>
      <c r="G50" s="814">
        <f t="shared" si="0"/>
        <v>0</v>
      </c>
      <c r="I50" s="847"/>
    </row>
    <row r="51" spans="1:9" ht="19.5" thickBot="1">
      <c r="A51" s="797"/>
      <c r="B51" s="797"/>
      <c r="C51" s="814">
        <v>0.2</v>
      </c>
      <c r="D51" s="625"/>
      <c r="E51" s="815">
        <f>SUM(E42:E50)</f>
        <v>1</v>
      </c>
      <c r="F51" s="814"/>
      <c r="G51" s="815">
        <f>C51*SUM(G42:G50)</f>
        <v>0</v>
      </c>
      <c r="I51" s="842"/>
    </row>
    <row r="52" spans="1:9" ht="37.5">
      <c r="A52" s="1176">
        <v>9</v>
      </c>
      <c r="B52" s="1176" t="s">
        <v>1441</v>
      </c>
      <c r="C52" s="1177"/>
      <c r="D52" s="623" t="s">
        <v>1735</v>
      </c>
      <c r="E52" s="814">
        <v>0.34</v>
      </c>
      <c r="F52" s="624"/>
      <c r="G52" s="814">
        <f t="shared" si="0"/>
        <v>0</v>
      </c>
      <c r="I52" s="841"/>
    </row>
    <row r="53" spans="1:9" ht="37.5">
      <c r="A53" s="1176"/>
      <c r="B53" s="1176"/>
      <c r="C53" s="1177"/>
      <c r="D53" s="623" t="s">
        <v>1736</v>
      </c>
      <c r="E53" s="814">
        <v>0.33</v>
      </c>
      <c r="F53" s="624"/>
      <c r="G53" s="814">
        <f t="shared" si="0"/>
        <v>0</v>
      </c>
      <c r="I53" s="842"/>
    </row>
    <row r="54" spans="1:9" ht="38.25" thickBot="1">
      <c r="A54" s="1176"/>
      <c r="B54" s="1176"/>
      <c r="C54" s="1177"/>
      <c r="D54" s="623" t="s">
        <v>1737</v>
      </c>
      <c r="E54" s="814">
        <v>0.33</v>
      </c>
      <c r="F54" s="624"/>
      <c r="G54" s="814">
        <f t="shared" si="0"/>
        <v>0</v>
      </c>
      <c r="I54" s="844"/>
    </row>
    <row r="55" spans="1:9" ht="21" customHeight="1" thickBot="1">
      <c r="A55" s="797"/>
      <c r="B55" s="797"/>
      <c r="C55" s="814">
        <v>0.06</v>
      </c>
      <c r="D55" s="808"/>
      <c r="E55" s="809">
        <f>SUM(E52:E54)</f>
        <v>1</v>
      </c>
      <c r="F55" s="853"/>
      <c r="G55" s="809">
        <f>C55*SUM(G52:G54)</f>
        <v>0</v>
      </c>
      <c r="I55" s="846"/>
    </row>
    <row r="56" spans="1:9" ht="18.75" customHeight="1">
      <c r="C56" s="626">
        <f>SUM(C6:C55)</f>
        <v>1</v>
      </c>
      <c r="D56" s="627"/>
      <c r="E56" s="628"/>
      <c r="F56" s="629"/>
      <c r="G56" s="629"/>
    </row>
    <row r="57" spans="1:9" ht="15" customHeight="1">
      <c r="C57" s="626"/>
      <c r="D57" s="854" t="s">
        <v>1442</v>
      </c>
      <c r="E57" s="629">
        <f>G9+G13+G16+G27+G31+G35+G41+G51+G55</f>
        <v>0</v>
      </c>
      <c r="F57" s="629" t="str">
        <f>IF(E57&lt;=0.5,"низький",IF(E57&lt;=0.75,"середній",IF(E57&lt;=0.95,"достатній","високий")))</f>
        <v>низький</v>
      </c>
      <c r="G57" s="629"/>
    </row>
    <row r="58" spans="1:9" ht="15.75">
      <c r="A58" s="288" t="s">
        <v>182</v>
      </c>
      <c r="B58" s="289"/>
      <c r="C58" s="59"/>
      <c r="D58" s="25"/>
      <c r="E58" s="642"/>
      <c r="F58" s="643"/>
      <c r="G58" s="112"/>
      <c r="H58"/>
    </row>
    <row r="59" spans="1:9" ht="17.25">
      <c r="A59" s="288" t="s">
        <v>589</v>
      </c>
      <c r="B59" s="289"/>
      <c r="C59" s="59"/>
      <c r="D59" s="25"/>
      <c r="E59" s="642"/>
      <c r="F59" s="643"/>
      <c r="G59" s="112"/>
      <c r="H59"/>
    </row>
    <row r="60" spans="1:9" ht="17.25">
      <c r="A60" s="288" t="s">
        <v>590</v>
      </c>
      <c r="B60" s="289"/>
      <c r="C60" s="59"/>
      <c r="D60" s="25"/>
      <c r="E60" s="642"/>
      <c r="F60" s="643"/>
      <c r="G60" s="112"/>
      <c r="H60"/>
    </row>
    <row r="61" spans="1:9" ht="17.25">
      <c r="A61" s="288" t="s">
        <v>591</v>
      </c>
      <c r="B61" s="289"/>
      <c r="C61" s="59"/>
      <c r="D61" s="25"/>
      <c r="E61" s="642"/>
      <c r="F61" s="643"/>
      <c r="G61" s="112"/>
      <c r="H61"/>
    </row>
    <row r="62" spans="1:9" ht="17.25">
      <c r="A62" s="288" t="s">
        <v>592</v>
      </c>
      <c r="B62" s="289"/>
      <c r="C62" s="59"/>
      <c r="D62" s="25"/>
      <c r="E62" s="642"/>
      <c r="F62" s="643"/>
      <c r="G62" s="112"/>
      <c r="H62"/>
    </row>
    <row r="63" spans="1:9" ht="17.25">
      <c r="A63" s="288" t="s">
        <v>593</v>
      </c>
      <c r="B63" s="289"/>
      <c r="C63" s="59"/>
      <c r="D63" s="25"/>
      <c r="E63" s="642"/>
      <c r="F63" s="643"/>
      <c r="G63" s="112"/>
      <c r="H63"/>
    </row>
    <row r="64" spans="1:9" ht="17.25">
      <c r="A64" s="288" t="s">
        <v>594</v>
      </c>
      <c r="B64" s="289"/>
      <c r="C64" s="59"/>
      <c r="D64" s="25"/>
      <c r="E64" s="642"/>
      <c r="F64" s="643"/>
      <c r="G64" s="112"/>
      <c r="H64"/>
    </row>
    <row r="65" spans="1:8" ht="17.25">
      <c r="A65" s="288" t="s">
        <v>595</v>
      </c>
      <c r="B65" s="289"/>
      <c r="C65" s="59"/>
      <c r="D65" s="25"/>
      <c r="E65" s="642"/>
      <c r="F65" s="643"/>
      <c r="G65" s="112"/>
      <c r="H65"/>
    </row>
    <row r="66" spans="1:8" ht="15.75">
      <c r="A66" s="644" t="s">
        <v>596</v>
      </c>
      <c r="B66" s="289"/>
      <c r="C66" s="59"/>
      <c r="D66" s="25"/>
      <c r="E66" s="642"/>
      <c r="F66" s="643"/>
      <c r="G66" s="112"/>
      <c r="H66"/>
    </row>
    <row r="67" spans="1:8" ht="15.75">
      <c r="A67" s="288" t="s">
        <v>597</v>
      </c>
      <c r="B67" s="289"/>
      <c r="C67" s="59"/>
      <c r="D67" s="25"/>
      <c r="E67" s="642"/>
      <c r="F67" s="643"/>
      <c r="G67" s="112"/>
      <c r="H67"/>
    </row>
    <row r="68" spans="1:8" ht="15.75">
      <c r="A68" s="288" t="s">
        <v>792</v>
      </c>
      <c r="B68" s="289"/>
      <c r="C68" s="59"/>
      <c r="D68" s="25"/>
      <c r="E68" s="642"/>
      <c r="F68" s="643"/>
      <c r="G68" s="112"/>
      <c r="H68"/>
    </row>
    <row r="69" spans="1:8" ht="15.75">
      <c r="A69" s="288" t="s">
        <v>793</v>
      </c>
      <c r="B69" s="289"/>
      <c r="C69" s="59"/>
      <c r="D69" s="25"/>
      <c r="E69" s="642"/>
      <c r="F69" s="643"/>
      <c r="G69" s="112"/>
      <c r="H69"/>
    </row>
    <row r="70" spans="1:8" ht="15.75">
      <c r="A70" s="288" t="s">
        <v>794</v>
      </c>
      <c r="B70" s="289"/>
      <c r="C70" s="59"/>
      <c r="D70" s="25"/>
      <c r="E70" s="642"/>
      <c r="F70" s="643"/>
      <c r="G70" s="112"/>
      <c r="H70"/>
    </row>
    <row r="71" spans="1:8" ht="15.75">
      <c r="A71" s="59"/>
      <c r="B71" s="59" t="s">
        <v>20</v>
      </c>
      <c r="C71" s="59"/>
      <c r="D71" s="59"/>
      <c r="E71" s="59"/>
      <c r="F71" s="59"/>
      <c r="G71" s="59"/>
      <c r="H71"/>
    </row>
    <row r="72" spans="1:8" ht="15.75">
      <c r="A72" s="645"/>
      <c r="B72" s="645"/>
      <c r="C72" s="645"/>
      <c r="D72" s="645"/>
      <c r="E72" s="645"/>
      <c r="F72" s="645"/>
      <c r="G72" s="645"/>
      <c r="H72"/>
    </row>
    <row r="73" spans="1:8" ht="15.75">
      <c r="A73" s="645"/>
      <c r="B73" s="645"/>
      <c r="C73" s="645"/>
      <c r="D73" s="645"/>
      <c r="E73" s="645"/>
      <c r="F73" s="645"/>
      <c r="G73" s="645"/>
      <c r="H73"/>
    </row>
    <row r="74" spans="1:8" ht="15.75">
      <c r="A74" s="645"/>
      <c r="B74" s="645"/>
      <c r="C74" s="645"/>
      <c r="D74" s="645"/>
      <c r="E74" s="645"/>
      <c r="F74" s="645"/>
      <c r="G74" s="645"/>
      <c r="H74"/>
    </row>
    <row r="75" spans="1:8" ht="15.75">
      <c r="A75" s="645"/>
      <c r="B75" s="645"/>
      <c r="C75" s="645"/>
      <c r="D75" s="645"/>
      <c r="E75" s="645"/>
      <c r="F75" s="645"/>
      <c r="G75" s="645"/>
      <c r="H75"/>
    </row>
    <row r="76" spans="1:8" ht="15.75">
      <c r="A76" s="645"/>
      <c r="B76" s="645"/>
      <c r="C76" s="645"/>
      <c r="D76" s="645"/>
      <c r="E76" s="645"/>
      <c r="F76" s="645"/>
      <c r="G76" s="645"/>
      <c r="H76"/>
    </row>
    <row r="77" spans="1:8" ht="15.75">
      <c r="A77" s="645"/>
      <c r="B77" s="645"/>
      <c r="C77" s="645"/>
      <c r="D77" s="645"/>
      <c r="E77" s="645"/>
      <c r="F77" s="645"/>
      <c r="G77" s="645"/>
      <c r="H77"/>
    </row>
    <row r="78" spans="1:8" ht="15.75">
      <c r="A78" s="645"/>
      <c r="B78" s="645"/>
      <c r="C78" s="645"/>
      <c r="D78" s="645"/>
      <c r="E78" s="645"/>
      <c r="F78" s="645"/>
      <c r="G78" s="645"/>
      <c r="H78"/>
    </row>
    <row r="79" spans="1:8" ht="15.75">
      <c r="A79" s="645"/>
      <c r="B79" s="645"/>
      <c r="C79" s="645"/>
      <c r="D79" s="645"/>
      <c r="E79" s="645"/>
      <c r="F79" s="645"/>
      <c r="G79" s="645"/>
      <c r="H79"/>
    </row>
    <row r="80" spans="1:8" ht="15.75">
      <c r="A80" s="645"/>
      <c r="B80" s="645"/>
      <c r="C80" s="645"/>
      <c r="D80" s="645"/>
      <c r="E80" s="645"/>
      <c r="F80" s="645"/>
      <c r="G80" s="645"/>
      <c r="H80"/>
    </row>
    <row r="81" spans="1:8" ht="15.75">
      <c r="A81" s="645"/>
      <c r="B81" s="645"/>
      <c r="C81" s="645"/>
      <c r="D81" s="645"/>
      <c r="E81" s="645"/>
      <c r="F81" s="645"/>
      <c r="G81" s="645"/>
      <c r="H81"/>
    </row>
    <row r="82" spans="1:8" ht="15.75">
      <c r="A82" s="645"/>
      <c r="B82" s="645"/>
      <c r="C82" s="645"/>
      <c r="D82" s="645"/>
      <c r="E82" s="645"/>
      <c r="F82" s="645"/>
      <c r="G82" s="645"/>
      <c r="H82"/>
    </row>
    <row r="83" spans="1:8" ht="15.75">
      <c r="A83" s="645"/>
      <c r="B83" s="645"/>
      <c r="C83" s="645"/>
      <c r="D83" s="645"/>
      <c r="E83" s="645"/>
      <c r="F83" s="645"/>
      <c r="G83" s="645"/>
      <c r="H83"/>
    </row>
    <row r="84" spans="1:8" ht="15.75">
      <c r="A84" s="645"/>
      <c r="B84" s="645"/>
      <c r="C84" s="645"/>
      <c r="D84" s="645"/>
      <c r="E84" s="645"/>
      <c r="F84" s="645"/>
      <c r="G84" s="645"/>
      <c r="H84"/>
    </row>
    <row r="85" spans="1:8" ht="15.75">
      <c r="A85" s="645"/>
      <c r="B85" s="645"/>
      <c r="C85" s="645"/>
      <c r="D85" s="645"/>
      <c r="E85" s="645"/>
      <c r="F85" s="645"/>
      <c r="G85" s="645"/>
      <c r="H85"/>
    </row>
    <row r="86" spans="1:8" ht="15.75">
      <c r="A86" s="59"/>
      <c r="B86" s="646" t="s">
        <v>2418</v>
      </c>
      <c r="C86" s="646"/>
      <c r="D86" s="646"/>
      <c r="E86" s="646"/>
      <c r="F86" s="646"/>
      <c r="G86" s="646"/>
      <c r="H86"/>
    </row>
    <row r="87" spans="1:8" ht="15.75">
      <c r="A87" s="59"/>
      <c r="B87" s="391"/>
      <c r="C87" s="391"/>
      <c r="D87" s="391"/>
      <c r="E87" s="391"/>
      <c r="F87" s="391"/>
      <c r="G87" s="391"/>
      <c r="H87"/>
    </row>
    <row r="88" spans="1:8" ht="15.75">
      <c r="A88" s="59"/>
      <c r="B88" s="646" t="s">
        <v>22</v>
      </c>
      <c r="C88" s="646"/>
      <c r="D88" s="646"/>
      <c r="E88" s="646"/>
      <c r="F88" s="646"/>
      <c r="G88" s="646"/>
      <c r="H88"/>
    </row>
    <row r="89" spans="1:8" ht="15.75">
      <c r="A89" s="59"/>
      <c r="B89" s="391"/>
      <c r="C89" s="391"/>
      <c r="D89" s="391"/>
      <c r="E89" s="391"/>
      <c r="F89" s="391"/>
      <c r="G89" s="391"/>
      <c r="H89"/>
    </row>
    <row r="90" spans="1:8" ht="15.75">
      <c r="A90" s="59"/>
      <c r="B90" s="646" t="s">
        <v>23</v>
      </c>
      <c r="C90" s="646"/>
      <c r="D90" s="646"/>
      <c r="E90" s="646"/>
      <c r="F90" s="646"/>
      <c r="G90" s="646"/>
      <c r="H90"/>
    </row>
    <row r="91" spans="1:8" ht="15.75">
      <c r="A91" s="59"/>
      <c r="B91" s="646" t="s">
        <v>24</v>
      </c>
      <c r="C91" s="646"/>
      <c r="D91" s="646"/>
      <c r="E91" s="646"/>
      <c r="F91" s="646"/>
      <c r="G91" s="646"/>
      <c r="H91"/>
    </row>
  </sheetData>
  <mergeCells count="37">
    <mergeCell ref="A1:G1"/>
    <mergeCell ref="A2:G2"/>
    <mergeCell ref="D4:D5"/>
    <mergeCell ref="E4:E5"/>
    <mergeCell ref="F4:F5"/>
    <mergeCell ref="G4:G5"/>
    <mergeCell ref="A4:A5"/>
    <mergeCell ref="B4:B5"/>
    <mergeCell ref="C4:C5"/>
    <mergeCell ref="A6:A8"/>
    <mergeCell ref="B6:B8"/>
    <mergeCell ref="C6:C8"/>
    <mergeCell ref="B32:B34"/>
    <mergeCell ref="C32:C34"/>
    <mergeCell ref="A28:A30"/>
    <mergeCell ref="B28:B30"/>
    <mergeCell ref="C28:C30"/>
    <mergeCell ref="A32:A34"/>
    <mergeCell ref="I36:I40"/>
    <mergeCell ref="B10:B12"/>
    <mergeCell ref="C10:C12"/>
    <mergeCell ref="A14:A15"/>
    <mergeCell ref="B14:B15"/>
    <mergeCell ref="C14:C15"/>
    <mergeCell ref="A17:A26"/>
    <mergeCell ref="B17:B26"/>
    <mergeCell ref="C17:C26"/>
    <mergeCell ref="A10:A12"/>
    <mergeCell ref="A52:A54"/>
    <mergeCell ref="B52:B54"/>
    <mergeCell ref="C52:C54"/>
    <mergeCell ref="A36:A40"/>
    <mergeCell ref="B36:B40"/>
    <mergeCell ref="C36:C40"/>
    <mergeCell ref="A42:A50"/>
    <mergeCell ref="B42:B50"/>
    <mergeCell ref="C42:C50"/>
  </mergeCells>
  <phoneticPr fontId="4" type="noConversion"/>
  <pageMargins left="0.7" right="0.7" top="0.75" bottom="0.75" header="0.3" footer="0.3"/>
  <pageSetup paperSize="9" scale="53" orientation="portrait" r:id="rId1"/>
</worksheet>
</file>

<file path=xl/worksheets/sheet12.xml><?xml version="1.0" encoding="utf-8"?>
<worksheet xmlns="http://schemas.openxmlformats.org/spreadsheetml/2006/main" xmlns:r="http://schemas.openxmlformats.org/officeDocument/2006/relationships">
  <dimension ref="A1:H78"/>
  <sheetViews>
    <sheetView workbookViewId="0">
      <selection activeCell="C2" sqref="C2"/>
    </sheetView>
  </sheetViews>
  <sheetFormatPr defaultRowHeight="15"/>
  <cols>
    <col min="1" max="1" width="4.140625" style="735" customWidth="1"/>
    <col min="2" max="2" width="17.140625" style="379" customWidth="1"/>
    <col min="3" max="3" width="8.42578125" customWidth="1"/>
    <col min="4" max="4" width="44.140625" customWidth="1"/>
    <col min="5" max="5" width="9.28515625" customWidth="1"/>
    <col min="6" max="6" width="10.42578125" style="735" customWidth="1"/>
    <col min="7" max="7" width="10.28515625" style="734" customWidth="1"/>
    <col min="8" max="8" width="10.42578125" style="734" customWidth="1"/>
  </cols>
  <sheetData>
    <row r="1" spans="1:8" ht="96.75" customHeight="1">
      <c r="A1" s="1203" t="s">
        <v>2280</v>
      </c>
      <c r="B1" s="1204"/>
      <c r="C1" s="1204"/>
      <c r="D1" s="1204"/>
      <c r="E1" s="1204"/>
      <c r="F1" s="1204"/>
      <c r="G1" s="1204"/>
      <c r="H1" s="1205"/>
    </row>
    <row r="2" spans="1:8" s="729" customFormat="1" ht="46.5" customHeight="1">
      <c r="A2" s="693"/>
      <c r="B2" s="726" t="s">
        <v>1612</v>
      </c>
      <c r="C2" s="726" t="s">
        <v>1445</v>
      </c>
      <c r="D2" s="726" t="s">
        <v>1613</v>
      </c>
      <c r="E2" s="726" t="s">
        <v>1445</v>
      </c>
      <c r="F2" s="924" t="s">
        <v>1614</v>
      </c>
      <c r="G2" s="728" t="s">
        <v>1615</v>
      </c>
      <c r="H2" s="728" t="s">
        <v>1616</v>
      </c>
    </row>
    <row r="3" spans="1:8" ht="35.25" customHeight="1">
      <c r="A3" s="1192">
        <v>1</v>
      </c>
      <c r="B3" s="1195" t="s">
        <v>1513</v>
      </c>
      <c r="C3" s="1192">
        <v>0.11</v>
      </c>
      <c r="D3" s="2" t="s">
        <v>1514</v>
      </c>
      <c r="E3" s="730">
        <v>0.17</v>
      </c>
      <c r="F3" s="730"/>
      <c r="G3" s="732">
        <f t="shared" ref="G3:G43" si="0">E3*F3</f>
        <v>0</v>
      </c>
      <c r="H3" s="1198">
        <f>(G3+G4+G5+G6+G7+G8+G9)/(1/C3)</f>
        <v>0</v>
      </c>
    </row>
    <row r="4" spans="1:8" ht="54" customHeight="1">
      <c r="A4" s="1193"/>
      <c r="B4" s="1196"/>
      <c r="C4" s="1193"/>
      <c r="D4" s="2" t="s">
        <v>1515</v>
      </c>
      <c r="E4" s="730">
        <v>0.09</v>
      </c>
      <c r="F4" s="730"/>
      <c r="G4" s="732">
        <f t="shared" si="0"/>
        <v>0</v>
      </c>
      <c r="H4" s="1198"/>
    </row>
    <row r="5" spans="1:8" ht="50.25" customHeight="1">
      <c r="A5" s="1193"/>
      <c r="B5" s="1196"/>
      <c r="C5" s="1193"/>
      <c r="D5" s="2" t="s">
        <v>2281</v>
      </c>
      <c r="E5" s="730">
        <v>0.17</v>
      </c>
      <c r="F5" s="730"/>
      <c r="G5" s="732">
        <f t="shared" si="0"/>
        <v>0</v>
      </c>
      <c r="H5" s="1198"/>
    </row>
    <row r="6" spans="1:8" ht="33.75" customHeight="1">
      <c r="A6" s="1193"/>
      <c r="B6" s="1196"/>
      <c r="C6" s="1193"/>
      <c r="D6" s="2" t="s">
        <v>2282</v>
      </c>
      <c r="E6" s="730">
        <v>0.2</v>
      </c>
      <c r="F6" s="730"/>
      <c r="G6" s="732">
        <f t="shared" si="0"/>
        <v>0</v>
      </c>
      <c r="H6" s="1198"/>
    </row>
    <row r="7" spans="1:8" ht="36" customHeight="1">
      <c r="A7" s="1193"/>
      <c r="B7" s="1196"/>
      <c r="C7" s="1193"/>
      <c r="D7" s="2" t="s">
        <v>2283</v>
      </c>
      <c r="E7" s="730">
        <v>0.13</v>
      </c>
      <c r="F7" s="730"/>
      <c r="G7" s="732">
        <f t="shared" si="0"/>
        <v>0</v>
      </c>
      <c r="H7" s="1198"/>
    </row>
    <row r="8" spans="1:8" ht="33" customHeight="1">
      <c r="A8" s="1193"/>
      <c r="B8" s="1196"/>
      <c r="C8" s="1193"/>
      <c r="D8" s="2" t="s">
        <v>2284</v>
      </c>
      <c r="E8" s="730">
        <v>0.12</v>
      </c>
      <c r="F8" s="730"/>
      <c r="G8" s="732">
        <f t="shared" si="0"/>
        <v>0</v>
      </c>
      <c r="H8" s="1198"/>
    </row>
    <row r="9" spans="1:8" ht="39" customHeight="1">
      <c r="A9" s="1194"/>
      <c r="B9" s="1197"/>
      <c r="C9" s="1194"/>
      <c r="D9" s="2" t="s">
        <v>2285</v>
      </c>
      <c r="E9" s="730">
        <v>0.12</v>
      </c>
      <c r="F9" s="730"/>
      <c r="G9" s="732">
        <f t="shared" si="0"/>
        <v>0</v>
      </c>
      <c r="H9" s="1198"/>
    </row>
    <row r="10" spans="1:8" ht="51" customHeight="1">
      <c r="A10" s="1191">
        <v>2</v>
      </c>
      <c r="B10" s="1199" t="s">
        <v>1522</v>
      </c>
      <c r="C10" s="1191">
        <v>0.1</v>
      </c>
      <c r="D10" s="2" t="s">
        <v>1523</v>
      </c>
      <c r="E10" s="730">
        <v>0.15</v>
      </c>
      <c r="F10" s="730"/>
      <c r="G10" s="732">
        <f>F10*E10</f>
        <v>0</v>
      </c>
      <c r="H10" s="1198">
        <f>(G10+G11+G12+G13+G14)/(1/C10)</f>
        <v>0</v>
      </c>
    </row>
    <row r="11" spans="1:8" ht="96.75" customHeight="1">
      <c r="A11" s="1191"/>
      <c r="B11" s="1199"/>
      <c r="C11" s="1191"/>
      <c r="D11" s="2" t="s">
        <v>1524</v>
      </c>
      <c r="E11" s="730">
        <v>0.2</v>
      </c>
      <c r="F11" s="730"/>
      <c r="G11" s="732">
        <f t="shared" si="0"/>
        <v>0</v>
      </c>
      <c r="H11" s="1198"/>
    </row>
    <row r="12" spans="1:8" ht="50.25" customHeight="1">
      <c r="A12" s="1191"/>
      <c r="B12" s="1199"/>
      <c r="C12" s="1191"/>
      <c r="D12" s="2" t="s">
        <v>1525</v>
      </c>
      <c r="E12" s="730">
        <v>0.15</v>
      </c>
      <c r="F12" s="730"/>
      <c r="G12" s="732">
        <f t="shared" si="0"/>
        <v>0</v>
      </c>
      <c r="H12" s="1198"/>
    </row>
    <row r="13" spans="1:8" ht="33" customHeight="1">
      <c r="A13" s="1191"/>
      <c r="B13" s="1199"/>
      <c r="C13" s="1191"/>
      <c r="D13" s="2" t="s">
        <v>1526</v>
      </c>
      <c r="E13" s="730">
        <v>0.3</v>
      </c>
      <c r="F13" s="730"/>
      <c r="G13" s="732">
        <f t="shared" si="0"/>
        <v>0</v>
      </c>
      <c r="H13" s="1198"/>
    </row>
    <row r="14" spans="1:8" ht="34.5" customHeight="1">
      <c r="A14" s="1191"/>
      <c r="B14" s="1199"/>
      <c r="C14" s="1191"/>
      <c r="D14" s="2" t="s">
        <v>1527</v>
      </c>
      <c r="E14" s="730">
        <v>0.2</v>
      </c>
      <c r="F14" s="730"/>
      <c r="G14" s="732">
        <f t="shared" si="0"/>
        <v>0</v>
      </c>
      <c r="H14" s="1198"/>
    </row>
    <row r="15" spans="1:8" ht="34.5" customHeight="1">
      <c r="A15" s="1191">
        <v>3</v>
      </c>
      <c r="B15" s="1199" t="s">
        <v>1528</v>
      </c>
      <c r="C15" s="1191">
        <v>7.0000000000000007E-2</v>
      </c>
      <c r="D15" s="2" t="s">
        <v>1529</v>
      </c>
      <c r="E15" s="730">
        <v>0.22</v>
      </c>
      <c r="F15" s="730"/>
      <c r="G15" s="732">
        <f t="shared" si="0"/>
        <v>0</v>
      </c>
      <c r="H15" s="1198">
        <f>(G15+G16+G17+G18+G19)/(1/C15)</f>
        <v>0</v>
      </c>
    </row>
    <row r="16" spans="1:8" ht="24" customHeight="1">
      <c r="A16" s="1191"/>
      <c r="B16" s="1199"/>
      <c r="C16" s="1191"/>
      <c r="D16" s="2" t="s">
        <v>1530</v>
      </c>
      <c r="E16" s="730">
        <v>0.18</v>
      </c>
      <c r="F16" s="730"/>
      <c r="G16" s="732">
        <f t="shared" si="0"/>
        <v>0</v>
      </c>
      <c r="H16" s="1198"/>
    </row>
    <row r="17" spans="1:8" ht="33.75" customHeight="1">
      <c r="A17" s="1191"/>
      <c r="B17" s="1199"/>
      <c r="C17" s="1191"/>
      <c r="D17" s="2" t="s">
        <v>2286</v>
      </c>
      <c r="E17" s="730">
        <v>0.15</v>
      </c>
      <c r="F17" s="730"/>
      <c r="G17" s="732">
        <f t="shared" si="0"/>
        <v>0</v>
      </c>
      <c r="H17" s="1198"/>
    </row>
    <row r="18" spans="1:8" ht="48.75" customHeight="1">
      <c r="A18" s="1191"/>
      <c r="B18" s="1199"/>
      <c r="C18" s="1191"/>
      <c r="D18" s="2" t="s">
        <v>1532</v>
      </c>
      <c r="E18" s="730">
        <v>0.25</v>
      </c>
      <c r="F18" s="730"/>
      <c r="G18" s="732">
        <f t="shared" si="0"/>
        <v>0</v>
      </c>
      <c r="H18" s="1198"/>
    </row>
    <row r="19" spans="1:8" ht="50.25" customHeight="1">
      <c r="A19" s="1191"/>
      <c r="B19" s="1199"/>
      <c r="C19" s="1191"/>
      <c r="D19" s="2" t="s">
        <v>1533</v>
      </c>
      <c r="E19" s="730">
        <v>0.2</v>
      </c>
      <c r="F19" s="730"/>
      <c r="G19" s="732">
        <f t="shared" si="0"/>
        <v>0</v>
      </c>
      <c r="H19" s="1198"/>
    </row>
    <row r="20" spans="1:8" ht="36" customHeight="1">
      <c r="A20" s="1192">
        <v>4</v>
      </c>
      <c r="B20" s="1195" t="s">
        <v>1534</v>
      </c>
      <c r="C20" s="1192">
        <v>0.13</v>
      </c>
      <c r="D20" s="2" t="s">
        <v>1535</v>
      </c>
      <c r="E20" s="730">
        <v>0.18</v>
      </c>
      <c r="F20" s="730"/>
      <c r="G20" s="732">
        <f t="shared" si="0"/>
        <v>0</v>
      </c>
      <c r="H20" s="1198">
        <f>(G20+G21+G22+G23+G24)/(1/C20)</f>
        <v>0</v>
      </c>
    </row>
    <row r="21" spans="1:8" ht="36.75" customHeight="1">
      <c r="A21" s="1193"/>
      <c r="B21" s="1196"/>
      <c r="C21" s="1193"/>
      <c r="D21" s="2" t="s">
        <v>1536</v>
      </c>
      <c r="E21" s="730">
        <v>0.15</v>
      </c>
      <c r="F21" s="730"/>
      <c r="G21" s="732">
        <f t="shared" si="0"/>
        <v>0</v>
      </c>
      <c r="H21" s="1198"/>
    </row>
    <row r="22" spans="1:8" ht="64.5" customHeight="1">
      <c r="A22" s="1193"/>
      <c r="B22" s="1196"/>
      <c r="C22" s="1193"/>
      <c r="D22" s="2" t="s">
        <v>1537</v>
      </c>
      <c r="E22" s="730">
        <v>0.22</v>
      </c>
      <c r="F22" s="730"/>
      <c r="G22" s="732">
        <f t="shared" si="0"/>
        <v>0</v>
      </c>
      <c r="H22" s="1198"/>
    </row>
    <row r="23" spans="1:8" ht="35.25" customHeight="1">
      <c r="A23" s="1193"/>
      <c r="B23" s="1196"/>
      <c r="C23" s="1193"/>
      <c r="D23" s="2" t="s">
        <v>1538</v>
      </c>
      <c r="E23" s="730">
        <v>0.25</v>
      </c>
      <c r="F23" s="730"/>
      <c r="G23" s="732">
        <f t="shared" si="0"/>
        <v>0</v>
      </c>
      <c r="H23" s="1198"/>
    </row>
    <row r="24" spans="1:8" ht="37.5" customHeight="1">
      <c r="A24" s="1194"/>
      <c r="B24" s="1197"/>
      <c r="C24" s="1194"/>
      <c r="D24" s="2" t="s">
        <v>1539</v>
      </c>
      <c r="E24" s="730">
        <v>0.2</v>
      </c>
      <c r="F24" s="730"/>
      <c r="G24" s="732">
        <f t="shared" si="0"/>
        <v>0</v>
      </c>
      <c r="H24" s="1198"/>
    </row>
    <row r="25" spans="1:8" ht="37.5" customHeight="1">
      <c r="A25" s="1192">
        <v>5</v>
      </c>
      <c r="B25" s="1195" t="s">
        <v>1875</v>
      </c>
      <c r="C25" s="1192">
        <v>0.15</v>
      </c>
      <c r="D25" s="86" t="s">
        <v>1876</v>
      </c>
      <c r="E25" s="925">
        <v>0.1</v>
      </c>
      <c r="F25" s="730"/>
      <c r="G25" s="732">
        <f t="shared" si="0"/>
        <v>0</v>
      </c>
      <c r="H25" s="1198">
        <f>(G25+G26+G27+G28+G29+G30+G31+G32)/(1/C25)</f>
        <v>0</v>
      </c>
    </row>
    <row r="26" spans="1:8" ht="33.75" customHeight="1">
      <c r="A26" s="1193"/>
      <c r="B26" s="1196"/>
      <c r="C26" s="1193"/>
      <c r="D26" s="86" t="s">
        <v>1877</v>
      </c>
      <c r="E26" s="925">
        <v>0.09</v>
      </c>
      <c r="F26" s="730"/>
      <c r="G26" s="732">
        <f t="shared" si="0"/>
        <v>0</v>
      </c>
      <c r="H26" s="1198"/>
    </row>
    <row r="27" spans="1:8" ht="48" customHeight="1">
      <c r="A27" s="1193"/>
      <c r="B27" s="1196"/>
      <c r="C27" s="1193"/>
      <c r="D27" s="86" t="s">
        <v>1878</v>
      </c>
      <c r="E27" s="925">
        <v>0.11</v>
      </c>
      <c r="F27" s="730"/>
      <c r="G27" s="732">
        <f t="shared" si="0"/>
        <v>0</v>
      </c>
      <c r="H27" s="1198"/>
    </row>
    <row r="28" spans="1:8" ht="47.25" customHeight="1">
      <c r="A28" s="1193"/>
      <c r="B28" s="1196"/>
      <c r="C28" s="1193"/>
      <c r="D28" s="86" t="s">
        <v>2287</v>
      </c>
      <c r="E28" s="925">
        <v>0.1</v>
      </c>
      <c r="F28" s="730"/>
      <c r="G28" s="732">
        <f t="shared" si="0"/>
        <v>0</v>
      </c>
      <c r="H28" s="1198"/>
    </row>
    <row r="29" spans="1:8" ht="48.75" customHeight="1">
      <c r="A29" s="1193"/>
      <c r="B29" s="1196"/>
      <c r="C29" s="1193"/>
      <c r="D29" s="86" t="s">
        <v>1880</v>
      </c>
      <c r="E29" s="925">
        <v>0.16</v>
      </c>
      <c r="F29" s="730"/>
      <c r="G29" s="732">
        <f t="shared" si="0"/>
        <v>0</v>
      </c>
      <c r="H29" s="1198"/>
    </row>
    <row r="30" spans="1:8" ht="50.25" customHeight="1">
      <c r="A30" s="1193"/>
      <c r="B30" s="1196"/>
      <c r="C30" s="1193"/>
      <c r="D30" s="86" t="s">
        <v>1881</v>
      </c>
      <c r="E30" s="925">
        <v>0.17</v>
      </c>
      <c r="F30" s="730"/>
      <c r="G30" s="732">
        <f t="shared" si="0"/>
        <v>0</v>
      </c>
      <c r="H30" s="1198"/>
    </row>
    <row r="31" spans="1:8" ht="48.75" customHeight="1">
      <c r="A31" s="1193"/>
      <c r="B31" s="1196"/>
      <c r="C31" s="1193"/>
      <c r="D31" s="86" t="s">
        <v>2288</v>
      </c>
      <c r="E31" s="925">
        <v>0.08</v>
      </c>
      <c r="F31" s="730"/>
      <c r="G31" s="732">
        <f t="shared" si="0"/>
        <v>0</v>
      </c>
      <c r="H31" s="1198"/>
    </row>
    <row r="32" spans="1:8" ht="48" customHeight="1">
      <c r="A32" s="1194"/>
      <c r="B32" s="1197"/>
      <c r="C32" s="1194"/>
      <c r="D32" s="86" t="s">
        <v>2289</v>
      </c>
      <c r="E32" s="925">
        <v>0.19</v>
      </c>
      <c r="F32" s="730"/>
      <c r="G32" s="732">
        <f t="shared" si="0"/>
        <v>0</v>
      </c>
      <c r="H32" s="1198"/>
    </row>
    <row r="33" spans="1:8" ht="54" customHeight="1">
      <c r="A33" s="1191">
        <v>6</v>
      </c>
      <c r="B33" s="1199" t="s">
        <v>1849</v>
      </c>
      <c r="C33" s="1191">
        <v>0.08</v>
      </c>
      <c r="D33" s="2" t="s">
        <v>1542</v>
      </c>
      <c r="E33" s="730">
        <v>0.3</v>
      </c>
      <c r="F33" s="730"/>
      <c r="G33" s="732">
        <f t="shared" si="0"/>
        <v>0</v>
      </c>
      <c r="H33" s="1198">
        <f>(G33+G34)/(1/C33)</f>
        <v>0</v>
      </c>
    </row>
    <row r="34" spans="1:8" ht="58.5" customHeight="1">
      <c r="A34" s="1191"/>
      <c r="B34" s="1199"/>
      <c r="C34" s="1191"/>
      <c r="D34" s="2" t="s">
        <v>1543</v>
      </c>
      <c r="E34" s="730">
        <v>0.7</v>
      </c>
      <c r="F34" s="730"/>
      <c r="G34" s="732">
        <f t="shared" si="0"/>
        <v>0</v>
      </c>
      <c r="H34" s="1198"/>
    </row>
    <row r="35" spans="1:8" ht="52.5" customHeight="1">
      <c r="A35" s="1192">
        <v>7</v>
      </c>
      <c r="B35" s="1195" t="s">
        <v>1544</v>
      </c>
      <c r="C35" s="1192">
        <v>0.14000000000000001</v>
      </c>
      <c r="D35" s="2" t="s">
        <v>2290</v>
      </c>
      <c r="E35" s="730">
        <v>0.6</v>
      </c>
      <c r="F35" s="730"/>
      <c r="G35" s="732">
        <f t="shared" si="0"/>
        <v>0</v>
      </c>
      <c r="H35" s="1201">
        <f>(G35+G36)/(1/C35)</f>
        <v>0</v>
      </c>
    </row>
    <row r="36" spans="1:8" ht="47.25" customHeight="1">
      <c r="A36" s="1194"/>
      <c r="B36" s="1197"/>
      <c r="C36" s="1194"/>
      <c r="D36" s="2" t="s">
        <v>2291</v>
      </c>
      <c r="E36" s="730">
        <v>0.4</v>
      </c>
      <c r="F36" s="730"/>
      <c r="G36" s="732">
        <f t="shared" si="0"/>
        <v>0</v>
      </c>
      <c r="H36" s="1202"/>
    </row>
    <row r="37" spans="1:8" ht="63">
      <c r="A37" s="1192">
        <v>8</v>
      </c>
      <c r="B37" s="1195" t="s">
        <v>2292</v>
      </c>
      <c r="C37" s="1192">
        <v>0.06</v>
      </c>
      <c r="D37" s="2" t="s">
        <v>1551</v>
      </c>
      <c r="E37" s="730">
        <v>0.4</v>
      </c>
      <c r="F37" s="730"/>
      <c r="G37" s="732">
        <f t="shared" si="0"/>
        <v>0</v>
      </c>
      <c r="H37" s="1198">
        <f>(G37+G38+G39)/(1/C37)</f>
        <v>0</v>
      </c>
    </row>
    <row r="38" spans="1:8" ht="34.5" customHeight="1">
      <c r="A38" s="1193"/>
      <c r="B38" s="1196"/>
      <c r="C38" s="1193"/>
      <c r="D38" s="2" t="s">
        <v>1552</v>
      </c>
      <c r="E38" s="730">
        <v>0.3</v>
      </c>
      <c r="F38" s="730"/>
      <c r="G38" s="732">
        <f t="shared" si="0"/>
        <v>0</v>
      </c>
      <c r="H38" s="1198"/>
    </row>
    <row r="39" spans="1:8" ht="63" customHeight="1">
      <c r="A39" s="1194"/>
      <c r="B39" s="1197"/>
      <c r="C39" s="1194"/>
      <c r="D39" s="2" t="s">
        <v>2293</v>
      </c>
      <c r="E39" s="730">
        <v>0.3</v>
      </c>
      <c r="F39" s="730"/>
      <c r="G39" s="732">
        <f t="shared" si="0"/>
        <v>0</v>
      </c>
      <c r="H39" s="1198"/>
    </row>
    <row r="40" spans="1:8" ht="111.75" customHeight="1">
      <c r="A40" s="1191">
        <v>9</v>
      </c>
      <c r="B40" s="1199" t="s">
        <v>2294</v>
      </c>
      <c r="C40" s="1191">
        <v>0.16</v>
      </c>
      <c r="D40" s="2" t="s">
        <v>2295</v>
      </c>
      <c r="E40" s="730">
        <v>0.2</v>
      </c>
      <c r="F40" s="730"/>
      <c r="G40" s="732">
        <f t="shared" si="0"/>
        <v>0</v>
      </c>
      <c r="H40" s="1198">
        <f>(G40+G41+G42+G43)/(1/C40)</f>
        <v>0</v>
      </c>
    </row>
    <row r="41" spans="1:8" ht="67.5" customHeight="1">
      <c r="A41" s="1191"/>
      <c r="B41" s="1199"/>
      <c r="C41" s="1191"/>
      <c r="D41" s="2" t="s">
        <v>2296</v>
      </c>
      <c r="E41" s="730">
        <v>0.32</v>
      </c>
      <c r="F41" s="730"/>
      <c r="G41" s="732">
        <f t="shared" si="0"/>
        <v>0</v>
      </c>
      <c r="H41" s="1198"/>
    </row>
    <row r="42" spans="1:8" ht="98.25" customHeight="1">
      <c r="A42" s="1191"/>
      <c r="B42" s="1199"/>
      <c r="C42" s="1191"/>
      <c r="D42" s="2" t="s">
        <v>2297</v>
      </c>
      <c r="E42" s="730">
        <v>0.23</v>
      </c>
      <c r="F42" s="730"/>
      <c r="G42" s="732">
        <f t="shared" si="0"/>
        <v>0</v>
      </c>
      <c r="H42" s="1198"/>
    </row>
    <row r="43" spans="1:8" ht="144" customHeight="1">
      <c r="A43" s="1191"/>
      <c r="B43" s="1199"/>
      <c r="C43" s="1191"/>
      <c r="D43" s="2" t="s">
        <v>2298</v>
      </c>
      <c r="E43" s="730">
        <v>0.25</v>
      </c>
      <c r="F43" s="730"/>
      <c r="G43" s="732">
        <f t="shared" si="0"/>
        <v>0</v>
      </c>
      <c r="H43" s="1198"/>
    </row>
    <row r="44" spans="1:8" ht="30.75" customHeight="1">
      <c r="A44" s="733"/>
      <c r="B44" s="1200" t="s">
        <v>2299</v>
      </c>
      <c r="C44" s="1200"/>
      <c r="D44" s="1200"/>
      <c r="E44" s="733"/>
      <c r="F44" s="733"/>
      <c r="G44" s="699"/>
      <c r="H44" s="926">
        <f>SUM(H3:H43)</f>
        <v>0</v>
      </c>
    </row>
    <row r="45" spans="1:8" ht="15.75">
      <c r="A45" s="288" t="s">
        <v>182</v>
      </c>
      <c r="B45" s="289"/>
      <c r="C45" s="59"/>
      <c r="D45" s="25"/>
      <c r="E45" s="642"/>
      <c r="F45" s="643"/>
      <c r="G45" s="112"/>
      <c r="H45"/>
    </row>
    <row r="46" spans="1:8" ht="17.25">
      <c r="A46" s="288" t="s">
        <v>589</v>
      </c>
      <c r="B46" s="289"/>
      <c r="C46" s="59"/>
      <c r="D46" s="25"/>
      <c r="E46" s="642"/>
      <c r="F46" s="643"/>
      <c r="G46" s="112"/>
      <c r="H46"/>
    </row>
    <row r="47" spans="1:8" ht="17.25">
      <c r="A47" s="288" t="s">
        <v>590</v>
      </c>
      <c r="B47" s="289"/>
      <c r="C47" s="59"/>
      <c r="D47" s="25"/>
      <c r="E47" s="642"/>
      <c r="F47" s="643"/>
      <c r="G47" s="112"/>
      <c r="H47"/>
    </row>
    <row r="48" spans="1:8" ht="17.25">
      <c r="A48" s="288" t="s">
        <v>591</v>
      </c>
      <c r="B48" s="289"/>
      <c r="C48" s="59"/>
      <c r="D48" s="25"/>
      <c r="E48" s="642"/>
      <c r="F48" s="643"/>
      <c r="G48" s="112"/>
      <c r="H48"/>
    </row>
    <row r="49" spans="1:8" ht="17.25">
      <c r="A49" s="288" t="s">
        <v>592</v>
      </c>
      <c r="B49" s="289"/>
      <c r="C49" s="59"/>
      <c r="D49" s="25"/>
      <c r="E49" s="642"/>
      <c r="F49" s="643"/>
      <c r="G49" s="112"/>
      <c r="H49"/>
    </row>
    <row r="50" spans="1:8" ht="17.25">
      <c r="A50" s="288" t="s">
        <v>593</v>
      </c>
      <c r="B50" s="289"/>
      <c r="C50" s="59"/>
      <c r="D50" s="25"/>
      <c r="E50" s="642"/>
      <c r="F50" s="643"/>
      <c r="G50" s="112"/>
      <c r="H50"/>
    </row>
    <row r="51" spans="1:8" ht="17.25">
      <c r="A51" s="288" t="s">
        <v>594</v>
      </c>
      <c r="B51" s="289"/>
      <c r="C51" s="59"/>
      <c r="D51" s="25"/>
      <c r="E51" s="642"/>
      <c r="F51" s="643"/>
      <c r="G51" s="112"/>
      <c r="H51"/>
    </row>
    <row r="52" spans="1:8" ht="17.25">
      <c r="A52" s="288" t="s">
        <v>595</v>
      </c>
      <c r="B52" s="289"/>
      <c r="C52" s="59"/>
      <c r="D52" s="25"/>
      <c r="E52" s="642"/>
      <c r="F52" s="643"/>
      <c r="G52" s="112"/>
      <c r="H52"/>
    </row>
    <row r="53" spans="1:8" ht="15.75">
      <c r="A53" s="644" t="s">
        <v>596</v>
      </c>
      <c r="B53" s="289"/>
      <c r="C53" s="59"/>
      <c r="D53" s="25"/>
      <c r="E53" s="642"/>
      <c r="F53" s="643"/>
      <c r="G53" s="112"/>
      <c r="H53"/>
    </row>
    <row r="54" spans="1:8" ht="15.75">
      <c r="A54" s="288" t="s">
        <v>597</v>
      </c>
      <c r="B54" s="289"/>
      <c r="C54" s="59"/>
      <c r="D54" s="25"/>
      <c r="E54" s="642"/>
      <c r="F54" s="643"/>
      <c r="G54" s="112"/>
      <c r="H54"/>
    </row>
    <row r="55" spans="1:8" ht="15.75">
      <c r="A55" s="288" t="s">
        <v>792</v>
      </c>
      <c r="B55" s="289"/>
      <c r="C55" s="59"/>
      <c r="D55" s="25"/>
      <c r="E55" s="642"/>
      <c r="F55" s="643"/>
      <c r="G55" s="112"/>
      <c r="H55"/>
    </row>
    <row r="56" spans="1:8" ht="15.75">
      <c r="A56" s="288" t="s">
        <v>793</v>
      </c>
      <c r="B56" s="289"/>
      <c r="C56" s="59"/>
      <c r="D56" s="25"/>
      <c r="E56" s="642"/>
      <c r="F56" s="643"/>
      <c r="G56" s="112"/>
      <c r="H56"/>
    </row>
    <row r="57" spans="1:8" ht="15.75">
      <c r="A57" s="288" t="s">
        <v>794</v>
      </c>
      <c r="B57" s="289"/>
      <c r="C57" s="59"/>
      <c r="D57" s="25"/>
      <c r="E57" s="642"/>
      <c r="F57" s="643"/>
      <c r="G57" s="112"/>
      <c r="H57"/>
    </row>
    <row r="58" spans="1:8" ht="15.75">
      <c r="A58" s="59"/>
      <c r="B58" s="59" t="s">
        <v>20</v>
      </c>
      <c r="C58" s="59"/>
      <c r="D58" s="59"/>
      <c r="E58" s="59"/>
      <c r="F58" s="59"/>
      <c r="G58" s="59"/>
      <c r="H58"/>
    </row>
    <row r="59" spans="1:8" ht="15.75">
      <c r="A59" s="645"/>
      <c r="B59" s="645"/>
      <c r="C59" s="645"/>
      <c r="D59" s="645"/>
      <c r="E59" s="645"/>
      <c r="F59" s="645"/>
      <c r="G59" s="645"/>
      <c r="H59"/>
    </row>
    <row r="60" spans="1:8" ht="15.75">
      <c r="A60" s="645"/>
      <c r="B60" s="645"/>
      <c r="C60" s="645"/>
      <c r="D60" s="645"/>
      <c r="E60" s="645"/>
      <c r="F60" s="645"/>
      <c r="G60" s="645"/>
      <c r="H60"/>
    </row>
    <row r="61" spans="1:8" ht="15.75">
      <c r="A61" s="645"/>
      <c r="B61" s="645"/>
      <c r="C61" s="645"/>
      <c r="D61" s="645"/>
      <c r="E61" s="645"/>
      <c r="F61" s="645"/>
      <c r="G61" s="645"/>
      <c r="H61"/>
    </row>
    <row r="62" spans="1:8" ht="15.75">
      <c r="A62" s="645"/>
      <c r="B62" s="645"/>
      <c r="C62" s="645"/>
      <c r="D62" s="645"/>
      <c r="E62" s="645"/>
      <c r="F62" s="645"/>
      <c r="G62" s="645"/>
      <c r="H62"/>
    </row>
    <row r="63" spans="1:8" ht="15.75">
      <c r="A63" s="645"/>
      <c r="B63" s="645"/>
      <c r="C63" s="645"/>
      <c r="D63" s="645"/>
      <c r="E63" s="645"/>
      <c r="F63" s="645"/>
      <c r="G63" s="645"/>
      <c r="H63"/>
    </row>
    <row r="64" spans="1:8" ht="15.75">
      <c r="A64" s="645"/>
      <c r="B64" s="645"/>
      <c r="C64" s="645"/>
      <c r="D64" s="645"/>
      <c r="E64" s="645"/>
      <c r="F64" s="645"/>
      <c r="G64" s="645"/>
      <c r="H64"/>
    </row>
    <row r="65" spans="1:8" ht="15.75">
      <c r="A65" s="645"/>
      <c r="B65" s="645"/>
      <c r="C65" s="645"/>
      <c r="D65" s="645"/>
      <c r="E65" s="645"/>
      <c r="F65" s="645"/>
      <c r="G65" s="645"/>
      <c r="H65"/>
    </row>
    <row r="66" spans="1:8" ht="15.75">
      <c r="A66" s="645"/>
      <c r="B66" s="645"/>
      <c r="C66" s="645"/>
      <c r="D66" s="645"/>
      <c r="E66" s="645"/>
      <c r="F66" s="645"/>
      <c r="G66" s="645"/>
      <c r="H66"/>
    </row>
    <row r="67" spans="1:8" ht="15.75">
      <c r="A67" s="645"/>
      <c r="B67" s="645"/>
      <c r="C67" s="645"/>
      <c r="D67" s="645"/>
      <c r="E67" s="645"/>
      <c r="F67" s="645"/>
      <c r="G67" s="645"/>
      <c r="H67"/>
    </row>
    <row r="68" spans="1:8" ht="15.75">
      <c r="A68" s="645"/>
      <c r="B68" s="645"/>
      <c r="C68" s="645"/>
      <c r="D68" s="645"/>
      <c r="E68" s="645"/>
      <c r="F68" s="645"/>
      <c r="G68" s="645"/>
      <c r="H68"/>
    </row>
    <row r="69" spans="1:8" ht="15.75">
      <c r="A69" s="645"/>
      <c r="B69" s="645"/>
      <c r="C69" s="645"/>
      <c r="D69" s="645"/>
      <c r="E69" s="645"/>
      <c r="F69" s="645"/>
      <c r="G69" s="645"/>
      <c r="H69"/>
    </row>
    <row r="70" spans="1:8" ht="15.75">
      <c r="A70" s="645"/>
      <c r="B70" s="645"/>
      <c r="C70" s="645"/>
      <c r="D70" s="645"/>
      <c r="E70" s="645"/>
      <c r="F70" s="645"/>
      <c r="G70" s="645"/>
      <c r="H70"/>
    </row>
    <row r="71" spans="1:8" ht="15.75">
      <c r="A71" s="645"/>
      <c r="B71" s="645"/>
      <c r="C71" s="645"/>
      <c r="D71" s="645"/>
      <c r="E71" s="645"/>
      <c r="F71" s="645"/>
      <c r="G71" s="645"/>
      <c r="H71"/>
    </row>
    <row r="72" spans="1:8" ht="15.75">
      <c r="A72" s="645"/>
      <c r="B72" s="645"/>
      <c r="C72" s="645"/>
      <c r="D72" s="645"/>
      <c r="E72" s="645"/>
      <c r="F72" s="645"/>
      <c r="G72" s="645"/>
      <c r="H72"/>
    </row>
    <row r="73" spans="1:8" ht="15.75">
      <c r="A73" s="59"/>
      <c r="B73" s="646" t="s">
        <v>2418</v>
      </c>
      <c r="C73" s="646"/>
      <c r="D73" s="646"/>
      <c r="E73" s="646"/>
      <c r="F73" s="646"/>
      <c r="G73" s="646"/>
      <c r="H73"/>
    </row>
    <row r="74" spans="1:8" ht="15.75">
      <c r="A74" s="59"/>
      <c r="B74" s="391"/>
      <c r="C74" s="391"/>
      <c r="D74" s="391"/>
      <c r="E74" s="391"/>
      <c r="F74" s="391"/>
      <c r="G74" s="391"/>
      <c r="H74"/>
    </row>
    <row r="75" spans="1:8" ht="15.75">
      <c r="A75" s="59"/>
      <c r="B75" s="646" t="s">
        <v>22</v>
      </c>
      <c r="C75" s="646"/>
      <c r="D75" s="646"/>
      <c r="E75" s="646"/>
      <c r="F75" s="646"/>
      <c r="G75" s="646"/>
      <c r="H75"/>
    </row>
    <row r="76" spans="1:8" ht="15.75">
      <c r="A76" s="59"/>
      <c r="B76" s="391"/>
      <c r="C76" s="391"/>
      <c r="D76" s="391"/>
      <c r="E76" s="391"/>
      <c r="F76" s="391"/>
      <c r="G76" s="391"/>
      <c r="H76"/>
    </row>
    <row r="77" spans="1:8" ht="15.75">
      <c r="A77" s="59"/>
      <c r="B77" s="646" t="s">
        <v>23</v>
      </c>
      <c r="C77" s="646"/>
      <c r="D77" s="646"/>
      <c r="E77" s="646"/>
      <c r="F77" s="646"/>
      <c r="G77" s="646"/>
      <c r="H77"/>
    </row>
    <row r="78" spans="1:8" ht="15.75">
      <c r="A78" s="59"/>
      <c r="B78" s="646" t="s">
        <v>24</v>
      </c>
      <c r="C78" s="646"/>
      <c r="D78" s="646"/>
      <c r="E78" s="646"/>
      <c r="F78" s="646"/>
      <c r="G78" s="646"/>
      <c r="H78"/>
    </row>
  </sheetData>
  <mergeCells count="38">
    <mergeCell ref="A1:H1"/>
    <mergeCell ref="A3:A9"/>
    <mergeCell ref="B3:B9"/>
    <mergeCell ref="C3:C9"/>
    <mergeCell ref="H3:H9"/>
    <mergeCell ref="A10:A14"/>
    <mergeCell ref="B10:B14"/>
    <mergeCell ref="C10:C14"/>
    <mergeCell ref="H10:H14"/>
    <mergeCell ref="A15:A19"/>
    <mergeCell ref="B15:B19"/>
    <mergeCell ref="C15:C19"/>
    <mergeCell ref="H15:H19"/>
    <mergeCell ref="A20:A24"/>
    <mergeCell ref="B20:B24"/>
    <mergeCell ref="C20:C24"/>
    <mergeCell ref="H20:H24"/>
    <mergeCell ref="A25:A32"/>
    <mergeCell ref="B25:B32"/>
    <mergeCell ref="C25:C32"/>
    <mergeCell ref="H25:H32"/>
    <mergeCell ref="B44:D44"/>
    <mergeCell ref="A33:A34"/>
    <mergeCell ref="B33:B34"/>
    <mergeCell ref="C33:C34"/>
    <mergeCell ref="H33:H34"/>
    <mergeCell ref="A35:A36"/>
    <mergeCell ref="B35:B36"/>
    <mergeCell ref="C35:C36"/>
    <mergeCell ref="H35:H36"/>
    <mergeCell ref="A40:A43"/>
    <mergeCell ref="A37:A39"/>
    <mergeCell ref="B37:B39"/>
    <mergeCell ref="C37:C39"/>
    <mergeCell ref="H37:H39"/>
    <mergeCell ref="B40:B43"/>
    <mergeCell ref="C40:C43"/>
    <mergeCell ref="H40:H43"/>
  </mergeCells>
  <phoneticPr fontId="4" type="noConversion"/>
  <pageMargins left="0.7" right="0.7" top="0.75" bottom="0.75" header="0.3" footer="0.3"/>
  <pageSetup paperSize="9" scale="75" orientation="portrait" r:id="rId1"/>
</worksheet>
</file>

<file path=xl/worksheets/sheet13.xml><?xml version="1.0" encoding="utf-8"?>
<worksheet xmlns="http://schemas.openxmlformats.org/spreadsheetml/2006/main" xmlns:r="http://schemas.openxmlformats.org/officeDocument/2006/relationships">
  <dimension ref="A1:H85"/>
  <sheetViews>
    <sheetView workbookViewId="0">
      <selection activeCell="C2" sqref="C2"/>
    </sheetView>
  </sheetViews>
  <sheetFormatPr defaultRowHeight="15"/>
  <cols>
    <col min="2" max="2" width="32.140625" customWidth="1"/>
    <col min="4" max="4" width="43.28515625" customWidth="1"/>
    <col min="6" max="6" width="13.140625" customWidth="1"/>
    <col min="7" max="7" width="11.7109375" customWidth="1"/>
    <col min="8" max="8" width="10.28515625" customWidth="1"/>
  </cols>
  <sheetData>
    <row r="1" spans="1:8" ht="57" customHeight="1" thickBot="1">
      <c r="A1" s="1225" t="s">
        <v>1378</v>
      </c>
      <c r="B1" s="1226"/>
      <c r="C1" s="1226"/>
      <c r="D1" s="1226"/>
      <c r="E1" s="1226"/>
      <c r="F1" s="1226"/>
      <c r="G1" s="1226"/>
      <c r="H1" s="1226"/>
    </row>
    <row r="2" spans="1:8" ht="40.5" customHeight="1">
      <c r="A2" s="703" t="s">
        <v>1379</v>
      </c>
      <c r="B2" s="704" t="s">
        <v>1612</v>
      </c>
      <c r="C2" s="726" t="s">
        <v>1445</v>
      </c>
      <c r="D2" s="704" t="s">
        <v>1613</v>
      </c>
      <c r="E2" s="704" t="s">
        <v>1445</v>
      </c>
      <c r="F2" s="705" t="s">
        <v>1380</v>
      </c>
      <c r="G2" s="704" t="s">
        <v>1381</v>
      </c>
      <c r="H2" s="704" t="s">
        <v>1382</v>
      </c>
    </row>
    <row r="3" spans="1:8" ht="210" customHeight="1">
      <c r="A3" s="1227">
        <v>1</v>
      </c>
      <c r="B3" s="1228" t="s">
        <v>1383</v>
      </c>
      <c r="C3" s="1229">
        <v>0.09</v>
      </c>
      <c r="D3" s="706" t="s">
        <v>1384</v>
      </c>
      <c r="E3" s="707">
        <v>0.35</v>
      </c>
      <c r="F3" s="708">
        <v>1</v>
      </c>
      <c r="G3" s="709">
        <f>E3*F3</f>
        <v>0.35</v>
      </c>
      <c r="H3" s="1208">
        <f>SUM(G3:G5)/(1/C3)</f>
        <v>0.09</v>
      </c>
    </row>
    <row r="4" spans="1:8" ht="101.25" customHeight="1">
      <c r="A4" s="1227"/>
      <c r="B4" s="1228"/>
      <c r="C4" s="1230"/>
      <c r="D4" s="710" t="s">
        <v>1385</v>
      </c>
      <c r="E4" s="707">
        <v>0.3</v>
      </c>
      <c r="F4" s="708">
        <v>1</v>
      </c>
      <c r="G4" s="709">
        <f t="shared" ref="G4:G46" si="0">E4*F4</f>
        <v>0.3</v>
      </c>
      <c r="H4" s="1209"/>
    </row>
    <row r="5" spans="1:8" ht="50.25" customHeight="1">
      <c r="A5" s="1227"/>
      <c r="B5" s="1228"/>
      <c r="C5" s="1231"/>
      <c r="D5" s="710" t="s">
        <v>1386</v>
      </c>
      <c r="E5" s="707">
        <v>0.35</v>
      </c>
      <c r="F5" s="708">
        <v>1</v>
      </c>
      <c r="G5" s="709">
        <f t="shared" si="0"/>
        <v>0.35</v>
      </c>
      <c r="H5" s="1210"/>
    </row>
    <row r="6" spans="1:8" ht="42" customHeight="1">
      <c r="A6" s="1206">
        <v>2</v>
      </c>
      <c r="B6" s="1221" t="s">
        <v>1387</v>
      </c>
      <c r="C6" s="1207">
        <v>0.05</v>
      </c>
      <c r="D6" s="711" t="s">
        <v>1388</v>
      </c>
      <c r="E6" s="712">
        <v>0.1</v>
      </c>
      <c r="F6" s="708">
        <v>1</v>
      </c>
      <c r="G6" s="709">
        <f t="shared" si="0"/>
        <v>0.1</v>
      </c>
      <c r="H6" s="1208">
        <f>SUM(G6:G10)/(1/C6)</f>
        <v>0.05</v>
      </c>
    </row>
    <row r="7" spans="1:8" ht="21.75" customHeight="1">
      <c r="A7" s="1206"/>
      <c r="B7" s="1221"/>
      <c r="C7" s="1207"/>
      <c r="D7" s="711" t="s">
        <v>1389</v>
      </c>
      <c r="E7" s="712">
        <v>0.25</v>
      </c>
      <c r="F7" s="708">
        <v>1</v>
      </c>
      <c r="G7" s="709">
        <f t="shared" si="0"/>
        <v>0.25</v>
      </c>
      <c r="H7" s="1209"/>
    </row>
    <row r="8" spans="1:8" ht="66.75" customHeight="1">
      <c r="A8" s="1206"/>
      <c r="B8" s="1221"/>
      <c r="C8" s="1207"/>
      <c r="D8" s="711" t="s">
        <v>1390</v>
      </c>
      <c r="E8" s="712">
        <v>0.05</v>
      </c>
      <c r="F8" s="708">
        <v>1</v>
      </c>
      <c r="G8" s="709">
        <f t="shared" si="0"/>
        <v>0.05</v>
      </c>
      <c r="H8" s="1209"/>
    </row>
    <row r="9" spans="1:8" ht="50.25" customHeight="1">
      <c r="A9" s="1206"/>
      <c r="B9" s="1221"/>
      <c r="C9" s="1207"/>
      <c r="D9" s="713" t="s">
        <v>1391</v>
      </c>
      <c r="E9" s="712">
        <v>0.35</v>
      </c>
      <c r="F9" s="708">
        <v>1</v>
      </c>
      <c r="G9" s="709">
        <f t="shared" si="0"/>
        <v>0.35</v>
      </c>
      <c r="H9" s="1209"/>
    </row>
    <row r="10" spans="1:8" ht="48.75" customHeight="1">
      <c r="A10" s="1206"/>
      <c r="B10" s="1221"/>
      <c r="C10" s="1207"/>
      <c r="D10" s="711" t="s">
        <v>1392</v>
      </c>
      <c r="E10" s="712">
        <v>0.25</v>
      </c>
      <c r="F10" s="708">
        <v>1</v>
      </c>
      <c r="G10" s="709">
        <f t="shared" si="0"/>
        <v>0.25</v>
      </c>
      <c r="H10" s="1210"/>
    </row>
    <row r="11" spans="1:8" ht="25.5" customHeight="1">
      <c r="A11" s="1206">
        <v>3</v>
      </c>
      <c r="B11" s="1221" t="s">
        <v>1393</v>
      </c>
      <c r="C11" s="1207">
        <v>0.08</v>
      </c>
      <c r="D11" s="697" t="s">
        <v>1394</v>
      </c>
      <c r="E11" s="712">
        <v>0.1</v>
      </c>
      <c r="F11" s="708">
        <v>1</v>
      </c>
      <c r="G11" s="709">
        <f t="shared" si="0"/>
        <v>0.1</v>
      </c>
      <c r="H11" s="1208">
        <f>SUM(G11:G15)/(1/C11)</f>
        <v>0.08</v>
      </c>
    </row>
    <row r="12" spans="1:8" ht="36.75" customHeight="1">
      <c r="A12" s="1206"/>
      <c r="B12" s="1221"/>
      <c r="C12" s="1207"/>
      <c r="D12" s="713" t="s">
        <v>1395</v>
      </c>
      <c r="E12" s="712">
        <v>0.2</v>
      </c>
      <c r="F12" s="708">
        <v>1</v>
      </c>
      <c r="G12" s="709">
        <f t="shared" si="0"/>
        <v>0.2</v>
      </c>
      <c r="H12" s="1209"/>
    </row>
    <row r="13" spans="1:8" ht="38.25" customHeight="1">
      <c r="A13" s="1206"/>
      <c r="B13" s="1221"/>
      <c r="C13" s="1207"/>
      <c r="D13" s="713" t="s">
        <v>1830</v>
      </c>
      <c r="E13" s="712">
        <v>0.01</v>
      </c>
      <c r="F13" s="708">
        <v>1</v>
      </c>
      <c r="G13" s="709">
        <f t="shared" si="0"/>
        <v>0.01</v>
      </c>
      <c r="H13" s="1209"/>
    </row>
    <row r="14" spans="1:8" ht="39" customHeight="1">
      <c r="A14" s="1206"/>
      <c r="B14" s="1221"/>
      <c r="C14" s="1207"/>
      <c r="D14" s="711" t="s">
        <v>1831</v>
      </c>
      <c r="E14" s="712">
        <v>0.45</v>
      </c>
      <c r="F14" s="708">
        <v>1</v>
      </c>
      <c r="G14" s="709">
        <f t="shared" si="0"/>
        <v>0.45</v>
      </c>
      <c r="H14" s="1209"/>
    </row>
    <row r="15" spans="1:8" ht="63" customHeight="1">
      <c r="A15" s="1206"/>
      <c r="B15" s="1221"/>
      <c r="C15" s="1207"/>
      <c r="D15" s="711" t="s">
        <v>1832</v>
      </c>
      <c r="E15" s="712">
        <v>0.24</v>
      </c>
      <c r="F15" s="708">
        <v>1</v>
      </c>
      <c r="G15" s="709">
        <f t="shared" si="0"/>
        <v>0.24</v>
      </c>
      <c r="H15" s="1210"/>
    </row>
    <row r="16" spans="1:8" ht="23.25" customHeight="1">
      <c r="A16" s="1214">
        <v>4</v>
      </c>
      <c r="B16" s="1214" t="s">
        <v>1833</v>
      </c>
      <c r="C16" s="1217">
        <v>0.13</v>
      </c>
      <c r="D16" s="697" t="s">
        <v>1834</v>
      </c>
      <c r="E16" s="712">
        <v>0.1</v>
      </c>
      <c r="F16" s="708">
        <v>1</v>
      </c>
      <c r="G16" s="709">
        <f t="shared" si="0"/>
        <v>0.1</v>
      </c>
      <c r="H16" s="1208">
        <f>SUM(G16:G20)/(1/C16)</f>
        <v>0.13</v>
      </c>
    </row>
    <row r="17" spans="1:8" ht="55.5" customHeight="1">
      <c r="A17" s="1215"/>
      <c r="B17" s="1215"/>
      <c r="C17" s="1218"/>
      <c r="D17" s="697" t="s">
        <v>1835</v>
      </c>
      <c r="E17" s="712">
        <v>0.15</v>
      </c>
      <c r="F17" s="708">
        <v>1</v>
      </c>
      <c r="G17" s="709">
        <f t="shared" si="0"/>
        <v>0.15</v>
      </c>
      <c r="H17" s="1209"/>
    </row>
    <row r="18" spans="1:8" ht="37.5" customHeight="1">
      <c r="A18" s="1215"/>
      <c r="B18" s="1215"/>
      <c r="C18" s="1218"/>
      <c r="D18" s="697" t="s">
        <v>1836</v>
      </c>
      <c r="E18" s="712">
        <v>0.13</v>
      </c>
      <c r="F18" s="708">
        <v>1</v>
      </c>
      <c r="G18" s="709">
        <f t="shared" si="0"/>
        <v>0.13</v>
      </c>
      <c r="H18" s="1209"/>
    </row>
    <row r="19" spans="1:8" ht="37.5" customHeight="1">
      <c r="A19" s="1215"/>
      <c r="B19" s="1215"/>
      <c r="C19" s="1218"/>
      <c r="D19" s="714" t="s">
        <v>1837</v>
      </c>
      <c r="E19" s="712">
        <v>0.45</v>
      </c>
      <c r="F19" s="708">
        <v>1</v>
      </c>
      <c r="G19" s="709">
        <f t="shared" si="0"/>
        <v>0.45</v>
      </c>
      <c r="H19" s="1209"/>
    </row>
    <row r="20" spans="1:8" ht="53.25" customHeight="1">
      <c r="A20" s="1215"/>
      <c r="B20" s="1215"/>
      <c r="C20" s="1218"/>
      <c r="D20" s="715" t="s">
        <v>1838</v>
      </c>
      <c r="E20" s="712">
        <v>0.17</v>
      </c>
      <c r="F20" s="708">
        <v>1</v>
      </c>
      <c r="G20" s="709">
        <f t="shared" si="0"/>
        <v>0.17</v>
      </c>
      <c r="H20" s="1210"/>
    </row>
    <row r="21" spans="1:8" ht="52.5" customHeight="1">
      <c r="A21" s="1214">
        <v>5</v>
      </c>
      <c r="B21" s="1214" t="s">
        <v>1839</v>
      </c>
      <c r="C21" s="1207">
        <v>0.16</v>
      </c>
      <c r="D21" s="713" t="s">
        <v>1840</v>
      </c>
      <c r="E21" s="712">
        <v>0.28000000000000003</v>
      </c>
      <c r="F21" s="708">
        <v>1</v>
      </c>
      <c r="G21" s="709">
        <f t="shared" si="0"/>
        <v>0.28000000000000003</v>
      </c>
      <c r="H21" s="1208">
        <f>SUM(G21:G25)/(1/C21)</f>
        <v>0.16</v>
      </c>
    </row>
    <row r="22" spans="1:8" ht="51" customHeight="1">
      <c r="A22" s="1215"/>
      <c r="B22" s="1215"/>
      <c r="C22" s="1207"/>
      <c r="D22" s="697" t="s">
        <v>1841</v>
      </c>
      <c r="E22" s="712">
        <v>0.25</v>
      </c>
      <c r="F22" s="708">
        <v>1</v>
      </c>
      <c r="G22" s="709">
        <f t="shared" si="0"/>
        <v>0.25</v>
      </c>
      <c r="H22" s="1209"/>
    </row>
    <row r="23" spans="1:8" ht="51" customHeight="1">
      <c r="A23" s="1215"/>
      <c r="B23" s="1215"/>
      <c r="C23" s="1207"/>
      <c r="D23" s="714" t="s">
        <v>1842</v>
      </c>
      <c r="E23" s="712">
        <v>0.08</v>
      </c>
      <c r="F23" s="708">
        <v>1</v>
      </c>
      <c r="G23" s="709">
        <f t="shared" si="0"/>
        <v>0.08</v>
      </c>
      <c r="H23" s="1209"/>
    </row>
    <row r="24" spans="1:8" ht="54" customHeight="1">
      <c r="A24" s="1215"/>
      <c r="B24" s="1215"/>
      <c r="C24" s="1207"/>
      <c r="D24" s="713" t="s">
        <v>1843</v>
      </c>
      <c r="E24" s="712">
        <v>0.22</v>
      </c>
      <c r="F24" s="708">
        <v>1</v>
      </c>
      <c r="G24" s="709">
        <f t="shared" si="0"/>
        <v>0.22</v>
      </c>
      <c r="H24" s="1209"/>
    </row>
    <row r="25" spans="1:8" ht="36" customHeight="1">
      <c r="A25" s="1216"/>
      <c r="B25" s="1216"/>
      <c r="C25" s="1207"/>
      <c r="D25" s="697" t="s">
        <v>1844</v>
      </c>
      <c r="E25" s="712">
        <v>0.17</v>
      </c>
      <c r="F25" s="708">
        <v>1</v>
      </c>
      <c r="G25" s="709">
        <f t="shared" si="0"/>
        <v>0.17</v>
      </c>
      <c r="H25" s="1210"/>
    </row>
    <row r="26" spans="1:8" ht="35.25" customHeight="1">
      <c r="A26" s="1214">
        <v>6</v>
      </c>
      <c r="B26" s="1214" t="s">
        <v>1845</v>
      </c>
      <c r="C26" s="1217">
        <v>0.12</v>
      </c>
      <c r="D26" s="697" t="s">
        <v>1846</v>
      </c>
      <c r="E26" s="712">
        <v>0.1</v>
      </c>
      <c r="F26" s="708">
        <v>1</v>
      </c>
      <c r="G26" s="709">
        <f t="shared" si="0"/>
        <v>0.1</v>
      </c>
      <c r="H26" s="1208">
        <f>SUM(G26:G28)/(1/C26)</f>
        <v>0.12</v>
      </c>
    </row>
    <row r="27" spans="1:8" ht="54" customHeight="1">
      <c r="A27" s="1215"/>
      <c r="B27" s="1215"/>
      <c r="C27" s="1218"/>
      <c r="D27" s="697" t="s">
        <v>1847</v>
      </c>
      <c r="E27" s="712">
        <v>0.65</v>
      </c>
      <c r="F27" s="708">
        <v>1</v>
      </c>
      <c r="G27" s="709">
        <f t="shared" si="0"/>
        <v>0.65</v>
      </c>
      <c r="H27" s="1209"/>
    </row>
    <row r="28" spans="1:8" ht="69" customHeight="1">
      <c r="A28" s="1215"/>
      <c r="B28" s="1215"/>
      <c r="C28" s="1218"/>
      <c r="D28" s="716" t="s">
        <v>1848</v>
      </c>
      <c r="E28" s="712">
        <v>0.25</v>
      </c>
      <c r="F28" s="708">
        <v>1</v>
      </c>
      <c r="G28" s="709">
        <f t="shared" si="0"/>
        <v>0.25</v>
      </c>
      <c r="H28" s="1210"/>
    </row>
    <row r="29" spans="1:8" ht="57" customHeight="1">
      <c r="A29" s="1214">
        <v>7</v>
      </c>
      <c r="B29" s="1214" t="s">
        <v>1849</v>
      </c>
      <c r="C29" s="1217">
        <v>0.06</v>
      </c>
      <c r="D29" s="714" t="s">
        <v>1850</v>
      </c>
      <c r="E29" s="712">
        <v>0.18</v>
      </c>
      <c r="F29" s="708">
        <v>1</v>
      </c>
      <c r="G29" s="709">
        <f t="shared" si="0"/>
        <v>0.18</v>
      </c>
      <c r="H29" s="1208">
        <f>SUM(G29:G37)/(1/C29)</f>
        <v>0.06</v>
      </c>
    </row>
    <row r="30" spans="1:8" ht="36.75" customHeight="1">
      <c r="A30" s="1215"/>
      <c r="B30" s="1215"/>
      <c r="C30" s="1218"/>
      <c r="D30" s="697" t="s">
        <v>1851</v>
      </c>
      <c r="E30" s="712">
        <v>0.05</v>
      </c>
      <c r="F30" s="708">
        <v>1</v>
      </c>
      <c r="G30" s="709">
        <f t="shared" si="0"/>
        <v>0.05</v>
      </c>
      <c r="H30" s="1209"/>
    </row>
    <row r="31" spans="1:8" ht="71.25" customHeight="1">
      <c r="A31" s="1215"/>
      <c r="B31" s="1215"/>
      <c r="C31" s="1218"/>
      <c r="D31" s="697" t="s">
        <v>1852</v>
      </c>
      <c r="E31" s="712">
        <v>0.33</v>
      </c>
      <c r="F31" s="708">
        <v>1</v>
      </c>
      <c r="G31" s="709">
        <f t="shared" si="0"/>
        <v>0.33</v>
      </c>
      <c r="H31" s="1209"/>
    </row>
    <row r="32" spans="1:8" ht="102.75" customHeight="1">
      <c r="A32" s="1215"/>
      <c r="B32" s="1215"/>
      <c r="C32" s="1218"/>
      <c r="D32" s="697" t="s">
        <v>1853</v>
      </c>
      <c r="E32" s="712">
        <v>0.2</v>
      </c>
      <c r="F32" s="708">
        <v>1</v>
      </c>
      <c r="G32" s="709">
        <f t="shared" si="0"/>
        <v>0.2</v>
      </c>
      <c r="H32" s="1209"/>
    </row>
    <row r="33" spans="1:8" ht="66" customHeight="1">
      <c r="A33" s="1215"/>
      <c r="B33" s="1215"/>
      <c r="C33" s="1218"/>
      <c r="D33" s="697" t="s">
        <v>1854</v>
      </c>
      <c r="E33" s="712">
        <v>0.1</v>
      </c>
      <c r="F33" s="708">
        <v>1</v>
      </c>
      <c r="G33" s="709">
        <f t="shared" si="0"/>
        <v>0.1</v>
      </c>
      <c r="H33" s="1209"/>
    </row>
    <row r="34" spans="1:8" ht="51.75" customHeight="1">
      <c r="A34" s="1215"/>
      <c r="B34" s="1215"/>
      <c r="C34" s="1218"/>
      <c r="D34" s="717" t="s">
        <v>1855</v>
      </c>
      <c r="E34" s="712">
        <v>0.02</v>
      </c>
      <c r="F34" s="708">
        <v>1</v>
      </c>
      <c r="G34" s="709">
        <f t="shared" si="0"/>
        <v>0.02</v>
      </c>
      <c r="H34" s="1209"/>
    </row>
    <row r="35" spans="1:8" ht="212.25" customHeight="1">
      <c r="A35" s="1215"/>
      <c r="B35" s="1215"/>
      <c r="C35" s="1218"/>
      <c r="D35" s="697" t="s">
        <v>1856</v>
      </c>
      <c r="E35" s="712">
        <v>0.05</v>
      </c>
      <c r="F35" s="708">
        <v>1</v>
      </c>
      <c r="G35" s="709">
        <f t="shared" si="0"/>
        <v>0.05</v>
      </c>
      <c r="H35" s="1209"/>
    </row>
    <row r="36" spans="1:8" ht="33.75" customHeight="1">
      <c r="A36" s="1215"/>
      <c r="B36" s="1215"/>
      <c r="C36" s="1218"/>
      <c r="D36" s="711" t="s">
        <v>1857</v>
      </c>
      <c r="E36" s="712">
        <v>0.02</v>
      </c>
      <c r="F36" s="708">
        <v>1</v>
      </c>
      <c r="G36" s="709">
        <f t="shared" si="0"/>
        <v>0.02</v>
      </c>
      <c r="H36" s="1209"/>
    </row>
    <row r="37" spans="1:8" ht="117" customHeight="1">
      <c r="A37" s="1216"/>
      <c r="B37" s="1216"/>
      <c r="C37" s="1219"/>
      <c r="D37" s="718" t="s">
        <v>1858</v>
      </c>
      <c r="E37" s="712">
        <v>0.05</v>
      </c>
      <c r="F37" s="708">
        <v>1</v>
      </c>
      <c r="G37" s="709">
        <f t="shared" si="0"/>
        <v>0.05</v>
      </c>
      <c r="H37" s="1210"/>
    </row>
    <row r="38" spans="1:8" ht="84.75" customHeight="1">
      <c r="A38" s="1206">
        <v>8</v>
      </c>
      <c r="B38" s="1206" t="s">
        <v>1859</v>
      </c>
      <c r="C38" s="1207">
        <v>0.08</v>
      </c>
      <c r="D38" s="713" t="s">
        <v>1860</v>
      </c>
      <c r="E38" s="712">
        <v>0.33</v>
      </c>
      <c r="F38" s="708">
        <v>1</v>
      </c>
      <c r="G38" s="709">
        <f t="shared" si="0"/>
        <v>0.33</v>
      </c>
      <c r="H38" s="1208">
        <f>SUM(G38:G40)/(1/C38)</f>
        <v>0.08</v>
      </c>
    </row>
    <row r="39" spans="1:8" ht="69" customHeight="1">
      <c r="A39" s="1206"/>
      <c r="B39" s="1206"/>
      <c r="C39" s="1207"/>
      <c r="D39" s="697" t="s">
        <v>1861</v>
      </c>
      <c r="E39" s="712">
        <v>0.32</v>
      </c>
      <c r="F39" s="708">
        <v>1</v>
      </c>
      <c r="G39" s="709">
        <f t="shared" si="0"/>
        <v>0.32</v>
      </c>
      <c r="H39" s="1209"/>
    </row>
    <row r="40" spans="1:8" ht="35.25" customHeight="1">
      <c r="A40" s="1206"/>
      <c r="B40" s="1206"/>
      <c r="C40" s="1207"/>
      <c r="D40" s="697" t="s">
        <v>1862</v>
      </c>
      <c r="E40" s="712">
        <v>0.35</v>
      </c>
      <c r="F40" s="708">
        <v>1</v>
      </c>
      <c r="G40" s="709">
        <f t="shared" si="0"/>
        <v>0.35</v>
      </c>
      <c r="H40" s="1210"/>
    </row>
    <row r="41" spans="1:8" ht="66.75" customHeight="1">
      <c r="A41" s="1214">
        <v>9</v>
      </c>
      <c r="B41" s="1214" t="s">
        <v>1863</v>
      </c>
      <c r="C41" s="1217">
        <v>0.12</v>
      </c>
      <c r="D41" s="697" t="s">
        <v>1864</v>
      </c>
      <c r="E41" s="712">
        <v>0.2</v>
      </c>
      <c r="F41" s="708">
        <v>1</v>
      </c>
      <c r="G41" s="709">
        <f t="shared" si="0"/>
        <v>0.2</v>
      </c>
      <c r="H41" s="1208">
        <f>SUM(G41:G45)/(1/C41)</f>
        <v>0.12</v>
      </c>
    </row>
    <row r="42" spans="1:8" ht="102" customHeight="1">
      <c r="A42" s="1215"/>
      <c r="B42" s="1215"/>
      <c r="C42" s="1218"/>
      <c r="D42" s="697" t="s">
        <v>1865</v>
      </c>
      <c r="E42" s="712">
        <v>0.3</v>
      </c>
      <c r="F42" s="708">
        <v>1</v>
      </c>
      <c r="G42" s="709">
        <f t="shared" si="0"/>
        <v>0.3</v>
      </c>
      <c r="H42" s="1209"/>
    </row>
    <row r="43" spans="1:8" ht="51" customHeight="1">
      <c r="A43" s="1215"/>
      <c r="B43" s="1215"/>
      <c r="C43" s="1218"/>
      <c r="D43" s="697" t="s">
        <v>1866</v>
      </c>
      <c r="E43" s="712">
        <v>0.19</v>
      </c>
      <c r="F43" s="708">
        <v>1</v>
      </c>
      <c r="G43" s="709">
        <f t="shared" si="0"/>
        <v>0.19</v>
      </c>
      <c r="H43" s="1209"/>
    </row>
    <row r="44" spans="1:8" ht="82.5" customHeight="1">
      <c r="A44" s="1215"/>
      <c r="B44" s="1215"/>
      <c r="C44" s="1218"/>
      <c r="D44" s="716" t="s">
        <v>1867</v>
      </c>
      <c r="E44" s="712">
        <v>0.17</v>
      </c>
      <c r="F44" s="708">
        <v>1</v>
      </c>
      <c r="G44" s="709">
        <f t="shared" si="0"/>
        <v>0.17</v>
      </c>
      <c r="H44" s="1209"/>
    </row>
    <row r="45" spans="1:8" ht="82.5" customHeight="1">
      <c r="A45" s="1216"/>
      <c r="B45" s="1216"/>
      <c r="C45" s="1219"/>
      <c r="D45" s="697" t="s">
        <v>1868</v>
      </c>
      <c r="E45" s="719">
        <v>0.14000000000000001</v>
      </c>
      <c r="F45" s="708">
        <v>1</v>
      </c>
      <c r="G45" s="709">
        <f t="shared" si="0"/>
        <v>0.14000000000000001</v>
      </c>
      <c r="H45" s="1210"/>
    </row>
    <row r="46" spans="1:8" ht="66.75" customHeight="1">
      <c r="A46" s="720">
        <v>10</v>
      </c>
      <c r="B46" s="698" t="s">
        <v>1869</v>
      </c>
      <c r="C46" s="721">
        <v>0.06</v>
      </c>
      <c r="D46" s="715" t="s">
        <v>1870</v>
      </c>
      <c r="E46" s="722">
        <v>1</v>
      </c>
      <c r="F46" s="708">
        <v>1</v>
      </c>
      <c r="G46" s="709">
        <f t="shared" si="0"/>
        <v>1</v>
      </c>
      <c r="H46" s="723">
        <f>G46/(1/C46)</f>
        <v>0.06</v>
      </c>
    </row>
    <row r="47" spans="1:8" ht="67.5" customHeight="1">
      <c r="A47" s="1220">
        <v>11</v>
      </c>
      <c r="B47" s="1221" t="s">
        <v>1871</v>
      </c>
      <c r="C47" s="1222">
        <v>0.05</v>
      </c>
      <c r="D47" s="697" t="s">
        <v>1872</v>
      </c>
      <c r="E47" s="723">
        <v>0.6</v>
      </c>
      <c r="F47" s="708">
        <v>1</v>
      </c>
      <c r="G47" s="709">
        <f>E47*F47</f>
        <v>0.6</v>
      </c>
      <c r="H47" s="1223">
        <f>SUM(G47:G48)/(1/C47)</f>
        <v>0.05</v>
      </c>
    </row>
    <row r="48" spans="1:8" ht="55.5" customHeight="1">
      <c r="A48" s="1220"/>
      <c r="B48" s="1221"/>
      <c r="C48" s="1222"/>
      <c r="D48" s="697" t="s">
        <v>1873</v>
      </c>
      <c r="E48" s="723">
        <v>0.4</v>
      </c>
      <c r="F48" s="708">
        <v>1</v>
      </c>
      <c r="G48" s="709">
        <f>E48*F48</f>
        <v>0.4</v>
      </c>
      <c r="H48" s="1224"/>
    </row>
    <row r="49" spans="1:8" ht="39" customHeight="1">
      <c r="A49" s="1211" t="s">
        <v>1874</v>
      </c>
      <c r="B49" s="1212"/>
      <c r="C49" s="1212"/>
      <c r="D49" s="1213"/>
      <c r="E49" s="724"/>
      <c r="F49" s="723"/>
      <c r="G49" s="723"/>
      <c r="H49" s="725">
        <f>SUM(H3:H48)</f>
        <v>1</v>
      </c>
    </row>
    <row r="50" spans="1:8" ht="15.75">
      <c r="A50" s="288" t="s">
        <v>182</v>
      </c>
      <c r="B50" s="289"/>
      <c r="C50" s="59"/>
      <c r="D50" s="25"/>
      <c r="E50" s="642"/>
      <c r="F50" s="643"/>
      <c r="G50" s="112"/>
    </row>
    <row r="51" spans="1:8" ht="17.25">
      <c r="A51" s="288" t="s">
        <v>589</v>
      </c>
      <c r="B51" s="289"/>
      <c r="C51" s="59"/>
      <c r="D51" s="25"/>
      <c r="E51" s="642"/>
      <c r="F51" s="643"/>
      <c r="G51" s="112"/>
    </row>
    <row r="52" spans="1:8" ht="17.25">
      <c r="A52" s="288" t="s">
        <v>590</v>
      </c>
      <c r="B52" s="289"/>
      <c r="C52" s="59"/>
      <c r="D52" s="25"/>
      <c r="E52" s="642"/>
      <c r="F52" s="643"/>
      <c r="G52" s="112"/>
    </row>
    <row r="53" spans="1:8" ht="17.25">
      <c r="A53" s="288" t="s">
        <v>591</v>
      </c>
      <c r="B53" s="289"/>
      <c r="C53" s="59"/>
      <c r="D53" s="25"/>
      <c r="E53" s="642"/>
      <c r="F53" s="643"/>
      <c r="G53" s="112"/>
    </row>
    <row r="54" spans="1:8" ht="17.25">
      <c r="A54" s="288" t="s">
        <v>592</v>
      </c>
      <c r="B54" s="289"/>
      <c r="C54" s="59"/>
      <c r="D54" s="25"/>
      <c r="E54" s="642"/>
      <c r="F54" s="643"/>
      <c r="G54" s="112"/>
    </row>
    <row r="55" spans="1:8" ht="17.25">
      <c r="A55" s="288" t="s">
        <v>593</v>
      </c>
      <c r="B55" s="289"/>
      <c r="C55" s="59"/>
      <c r="D55" s="25"/>
      <c r="E55" s="642"/>
      <c r="F55" s="643"/>
      <c r="G55" s="112"/>
    </row>
    <row r="56" spans="1:8" ht="17.25">
      <c r="A56" s="288" t="s">
        <v>594</v>
      </c>
      <c r="B56" s="289"/>
      <c r="C56" s="59"/>
      <c r="D56" s="25"/>
      <c r="E56" s="642"/>
      <c r="F56" s="643"/>
      <c r="G56" s="112"/>
    </row>
    <row r="57" spans="1:8" ht="17.25">
      <c r="A57" s="288" t="s">
        <v>595</v>
      </c>
      <c r="B57" s="289"/>
      <c r="C57" s="59"/>
      <c r="D57" s="25"/>
      <c r="E57" s="642"/>
      <c r="F57" s="643"/>
      <c r="G57" s="112"/>
    </row>
    <row r="58" spans="1:8" ht="15.75">
      <c r="A58" s="644" t="s">
        <v>596</v>
      </c>
      <c r="B58" s="289"/>
      <c r="C58" s="59"/>
      <c r="D58" s="25"/>
      <c r="E58" s="642"/>
      <c r="F58" s="643"/>
      <c r="G58" s="112"/>
    </row>
    <row r="59" spans="1:8" ht="15.75">
      <c r="A59" s="288" t="s">
        <v>597</v>
      </c>
      <c r="B59" s="289"/>
      <c r="C59" s="59"/>
      <c r="D59" s="25"/>
      <c r="E59" s="642"/>
      <c r="F59" s="643"/>
      <c r="G59" s="112"/>
    </row>
    <row r="60" spans="1:8" ht="15.75">
      <c r="A60" s="288" t="s">
        <v>792</v>
      </c>
      <c r="B60" s="289"/>
      <c r="C60" s="59"/>
      <c r="D60" s="25"/>
      <c r="E60" s="642"/>
      <c r="F60" s="643"/>
      <c r="G60" s="112"/>
    </row>
    <row r="61" spans="1:8" ht="15.75">
      <c r="A61" s="288" t="s">
        <v>793</v>
      </c>
      <c r="B61" s="289"/>
      <c r="C61" s="59"/>
      <c r="D61" s="25"/>
      <c r="E61" s="642"/>
      <c r="F61" s="643"/>
      <c r="G61" s="112"/>
    </row>
    <row r="62" spans="1:8" ht="15.75">
      <c r="A62" s="288" t="s">
        <v>794</v>
      </c>
      <c r="B62" s="289"/>
      <c r="C62" s="59"/>
      <c r="D62" s="25"/>
      <c r="E62" s="642"/>
      <c r="F62" s="643"/>
      <c r="G62" s="112"/>
    </row>
    <row r="63" spans="1:8" ht="15.75">
      <c r="A63" s="59"/>
      <c r="B63" s="59" t="s">
        <v>20</v>
      </c>
      <c r="C63" s="59"/>
      <c r="D63" s="59"/>
      <c r="E63" s="59"/>
      <c r="F63" s="59"/>
      <c r="G63" s="59"/>
    </row>
    <row r="64" spans="1:8" ht="15.75">
      <c r="A64" s="645"/>
      <c r="B64" s="645"/>
      <c r="C64" s="645"/>
      <c r="D64" s="645"/>
      <c r="E64" s="645"/>
      <c r="F64" s="645"/>
      <c r="G64" s="645"/>
    </row>
    <row r="65" spans="1:7" ht="15.75">
      <c r="A65" s="645"/>
      <c r="B65" s="645"/>
      <c r="C65" s="645"/>
      <c r="D65" s="645"/>
      <c r="E65" s="645"/>
      <c r="F65" s="645"/>
      <c r="G65" s="645"/>
    </row>
    <row r="66" spans="1:7" ht="15.75">
      <c r="A66" s="645"/>
      <c r="B66" s="645"/>
      <c r="C66" s="645"/>
      <c r="D66" s="645"/>
      <c r="E66" s="645"/>
      <c r="F66" s="645"/>
      <c r="G66" s="645"/>
    </row>
    <row r="67" spans="1:7" ht="15.75">
      <c r="A67" s="645"/>
      <c r="B67" s="645"/>
      <c r="C67" s="645"/>
      <c r="D67" s="645"/>
      <c r="E67" s="645"/>
      <c r="F67" s="645"/>
      <c r="G67" s="645"/>
    </row>
    <row r="68" spans="1:7" ht="15.75">
      <c r="A68" s="645"/>
      <c r="B68" s="645"/>
      <c r="C68" s="645"/>
      <c r="D68" s="645"/>
      <c r="E68" s="645"/>
      <c r="F68" s="645"/>
      <c r="G68" s="645"/>
    </row>
    <row r="69" spans="1:7" ht="15.75">
      <c r="A69" s="645"/>
      <c r="B69" s="645"/>
      <c r="C69" s="645"/>
      <c r="D69" s="645"/>
      <c r="E69" s="645"/>
      <c r="F69" s="645"/>
      <c r="G69" s="645"/>
    </row>
    <row r="70" spans="1:7" ht="15.75">
      <c r="A70" s="645"/>
      <c r="B70" s="645"/>
      <c r="C70" s="645"/>
      <c r="D70" s="645"/>
      <c r="E70" s="645"/>
      <c r="F70" s="645"/>
      <c r="G70" s="645"/>
    </row>
    <row r="71" spans="1:7" ht="15.75">
      <c r="A71" s="645"/>
      <c r="B71" s="645"/>
      <c r="C71" s="645"/>
      <c r="D71" s="645"/>
      <c r="E71" s="645"/>
      <c r="F71" s="645"/>
      <c r="G71" s="645"/>
    </row>
    <row r="72" spans="1:7" ht="15.75">
      <c r="A72" s="645"/>
      <c r="B72" s="645"/>
      <c r="C72" s="645"/>
      <c r="D72" s="645"/>
      <c r="E72" s="645"/>
      <c r="F72" s="645"/>
      <c r="G72" s="645"/>
    </row>
    <row r="73" spans="1:7" ht="15.75">
      <c r="A73" s="645"/>
      <c r="B73" s="645"/>
      <c r="C73" s="645"/>
      <c r="D73" s="645"/>
      <c r="E73" s="645"/>
      <c r="F73" s="645"/>
      <c r="G73" s="645"/>
    </row>
    <row r="74" spans="1:7" ht="15.75">
      <c r="A74" s="645"/>
      <c r="B74" s="645"/>
      <c r="C74" s="645"/>
      <c r="D74" s="645"/>
      <c r="E74" s="645"/>
      <c r="F74" s="645"/>
      <c r="G74" s="645"/>
    </row>
    <row r="75" spans="1:7" ht="15.75">
      <c r="A75" s="645"/>
      <c r="B75" s="645"/>
      <c r="C75" s="645"/>
      <c r="D75" s="645"/>
      <c r="E75" s="645"/>
      <c r="F75" s="645"/>
      <c r="G75" s="645"/>
    </row>
    <row r="76" spans="1:7" ht="15.75">
      <c r="A76" s="645"/>
      <c r="B76" s="645"/>
      <c r="C76" s="645"/>
      <c r="D76" s="645"/>
      <c r="E76" s="645"/>
      <c r="F76" s="645"/>
      <c r="G76" s="645"/>
    </row>
    <row r="77" spans="1:7" ht="15.75">
      <c r="A77" s="645"/>
      <c r="B77" s="645"/>
      <c r="C77" s="645"/>
      <c r="D77" s="645"/>
      <c r="E77" s="645"/>
      <c r="F77" s="645"/>
      <c r="G77" s="645"/>
    </row>
    <row r="78" spans="1:7" ht="15.75">
      <c r="A78" s="59"/>
      <c r="B78" s="646" t="s">
        <v>2418</v>
      </c>
      <c r="C78" s="646"/>
      <c r="D78" s="646"/>
      <c r="E78" s="646"/>
      <c r="F78" s="646"/>
      <c r="G78" s="646"/>
    </row>
    <row r="79" spans="1:7" ht="15.75">
      <c r="A79" s="59"/>
      <c r="B79" s="391"/>
      <c r="C79" s="391"/>
      <c r="D79" s="391"/>
      <c r="E79" s="391"/>
      <c r="F79" s="391"/>
      <c r="G79" s="391"/>
    </row>
    <row r="80" spans="1:7" ht="15.75">
      <c r="A80" s="59"/>
      <c r="B80" s="646" t="s">
        <v>22</v>
      </c>
      <c r="C80" s="646"/>
      <c r="D80" s="646"/>
      <c r="E80" s="646"/>
      <c r="F80" s="646"/>
      <c r="G80" s="646"/>
    </row>
    <row r="81" spans="1:7" ht="15.75">
      <c r="A81" s="59"/>
      <c r="B81" s="391"/>
      <c r="C81" s="391"/>
      <c r="D81" s="391"/>
      <c r="E81" s="391"/>
      <c r="F81" s="391"/>
      <c r="G81" s="391"/>
    </row>
    <row r="82" spans="1:7" ht="15.75">
      <c r="A82" s="59"/>
      <c r="B82" s="646" t="s">
        <v>23</v>
      </c>
      <c r="C82" s="646"/>
      <c r="D82" s="646"/>
      <c r="E82" s="646"/>
      <c r="F82" s="646"/>
      <c r="G82" s="646"/>
    </row>
    <row r="83" spans="1:7" ht="15.75">
      <c r="A83" s="59"/>
      <c r="B83" s="646" t="s">
        <v>24</v>
      </c>
      <c r="C83" s="646"/>
      <c r="D83" s="646"/>
      <c r="E83" s="646"/>
      <c r="F83" s="646"/>
      <c r="G83" s="646"/>
    </row>
    <row r="84" spans="1:7" ht="15.75">
      <c r="A84" s="289"/>
      <c r="B84" s="289"/>
      <c r="C84" s="25"/>
      <c r="D84" s="25"/>
      <c r="E84" s="332"/>
      <c r="F84" s="25"/>
      <c r="G84" s="25"/>
    </row>
    <row r="85" spans="1:7" ht="15.75">
      <c r="A85" s="290"/>
      <c r="B85" s="289"/>
      <c r="C85" s="332"/>
      <c r="D85" s="25"/>
      <c r="E85" s="332"/>
      <c r="F85" s="25"/>
      <c r="G85" s="25"/>
    </row>
  </sheetData>
  <mergeCells count="42">
    <mergeCell ref="A1:H1"/>
    <mergeCell ref="A3:A5"/>
    <mergeCell ref="B3:B5"/>
    <mergeCell ref="C3:C5"/>
    <mergeCell ref="H3:H5"/>
    <mergeCell ref="A6:A10"/>
    <mergeCell ref="B6:B10"/>
    <mergeCell ref="C6:C10"/>
    <mergeCell ref="H6:H10"/>
    <mergeCell ref="A11:A15"/>
    <mergeCell ref="B11:B15"/>
    <mergeCell ref="C11:C15"/>
    <mergeCell ref="H11:H15"/>
    <mergeCell ref="A16:A20"/>
    <mergeCell ref="B16:B20"/>
    <mergeCell ref="C16:C20"/>
    <mergeCell ref="H16:H20"/>
    <mergeCell ref="A21:A25"/>
    <mergeCell ref="B21:B25"/>
    <mergeCell ref="C21:C25"/>
    <mergeCell ref="H21:H25"/>
    <mergeCell ref="A26:A28"/>
    <mergeCell ref="B26:B28"/>
    <mergeCell ref="C26:C28"/>
    <mergeCell ref="H26:H28"/>
    <mergeCell ref="A29:A37"/>
    <mergeCell ref="B29:B37"/>
    <mergeCell ref="C29:C37"/>
    <mergeCell ref="H29:H37"/>
    <mergeCell ref="A38:A40"/>
    <mergeCell ref="B38:B40"/>
    <mergeCell ref="C38:C40"/>
    <mergeCell ref="H38:H40"/>
    <mergeCell ref="A49:D49"/>
    <mergeCell ref="A41:A45"/>
    <mergeCell ref="B41:B45"/>
    <mergeCell ref="C41:C45"/>
    <mergeCell ref="H41:H45"/>
    <mergeCell ref="A47:A48"/>
    <mergeCell ref="B47:B48"/>
    <mergeCell ref="C47:C48"/>
    <mergeCell ref="H47:H48"/>
  </mergeCells>
  <phoneticPr fontId="4" type="noConversion"/>
  <pageMargins left="0.7" right="0.7" top="0.75" bottom="0.75" header="0.3" footer="0.3"/>
  <pageSetup paperSize="9" scale="60" orientation="portrait" r:id="rId1"/>
</worksheet>
</file>

<file path=xl/worksheets/sheet14.xml><?xml version="1.0" encoding="utf-8"?>
<worksheet xmlns="http://schemas.openxmlformats.org/spreadsheetml/2006/main" xmlns:r="http://schemas.openxmlformats.org/officeDocument/2006/relationships">
  <dimension ref="A1:G63"/>
  <sheetViews>
    <sheetView zoomScale="80" zoomScaleNormal="80" workbookViewId="0">
      <selection activeCell="B54" sqref="B54"/>
    </sheetView>
  </sheetViews>
  <sheetFormatPr defaultRowHeight="15.75"/>
  <cols>
    <col min="1" max="1" width="7" style="104" bestFit="1" customWidth="1"/>
    <col min="2" max="2" width="20.85546875" style="107" customWidth="1"/>
    <col min="3" max="3" width="13.28515625" style="104" customWidth="1"/>
    <col min="4" max="4" width="40.42578125" style="8" customWidth="1"/>
    <col min="5" max="5" width="16.42578125" style="108" customWidth="1"/>
    <col min="6" max="6" width="17.7109375" style="104" customWidth="1"/>
    <col min="7" max="7" width="17" style="108" customWidth="1"/>
    <col min="8" max="16384" width="9.140625" style="104"/>
  </cols>
  <sheetData>
    <row r="1" spans="1:7" ht="15.75" customHeight="1">
      <c r="A1" s="1132" t="s">
        <v>446</v>
      </c>
      <c r="B1" s="1132"/>
      <c r="C1" s="1132"/>
      <c r="D1" s="1132"/>
      <c r="E1" s="1132"/>
      <c r="F1" s="1132"/>
      <c r="G1" s="1132"/>
    </row>
    <row r="2" spans="1:7" ht="65.25" customHeight="1">
      <c r="A2" s="1132" t="s">
        <v>77</v>
      </c>
      <c r="B2" s="1132"/>
      <c r="C2" s="1132"/>
      <c r="D2" s="1132"/>
      <c r="E2" s="1132"/>
      <c r="F2" s="1132"/>
      <c r="G2" s="1132"/>
    </row>
    <row r="3" spans="1:7" ht="47.25" customHeight="1">
      <c r="A3" s="5" t="s">
        <v>434</v>
      </c>
      <c r="B3" s="5" t="s">
        <v>338</v>
      </c>
      <c r="C3" s="5" t="s">
        <v>771</v>
      </c>
      <c r="D3" s="5" t="s">
        <v>333</v>
      </c>
      <c r="E3" s="5" t="s">
        <v>337</v>
      </c>
      <c r="F3" s="5" t="s">
        <v>770</v>
      </c>
      <c r="G3" s="5" t="s">
        <v>82</v>
      </c>
    </row>
    <row r="4" spans="1:7" ht="31.5">
      <c r="A4" s="282" t="s">
        <v>61</v>
      </c>
      <c r="B4" s="649" t="s">
        <v>74</v>
      </c>
      <c r="C4" s="282"/>
      <c r="D4" s="650" t="s">
        <v>656</v>
      </c>
      <c r="E4" s="648">
        <v>0.22</v>
      </c>
      <c r="F4" s="651"/>
      <c r="G4" s="653">
        <f>F4*E4</f>
        <v>0</v>
      </c>
    </row>
    <row r="5" spans="1:7" ht="31.5">
      <c r="A5" s="282"/>
      <c r="B5" s="647"/>
      <c r="C5" s="282"/>
      <c r="D5" s="650" t="s">
        <v>657</v>
      </c>
      <c r="E5" s="648">
        <v>0.2</v>
      </c>
      <c r="F5" s="651"/>
      <c r="G5" s="653">
        <f t="shared" ref="G5:G22" si="0">F5*E5</f>
        <v>0</v>
      </c>
    </row>
    <row r="6" spans="1:7" ht="383.25" customHeight="1">
      <c r="A6" s="282"/>
      <c r="B6" s="647"/>
      <c r="C6" s="282"/>
      <c r="D6" s="652" t="s">
        <v>655</v>
      </c>
      <c r="E6" s="648">
        <v>0.16</v>
      </c>
      <c r="F6" s="651"/>
      <c r="G6" s="653">
        <f t="shared" si="0"/>
        <v>0</v>
      </c>
    </row>
    <row r="7" spans="1:7" ht="31.5">
      <c r="A7" s="282"/>
      <c r="B7" s="647"/>
      <c r="C7" s="282"/>
      <c r="D7" s="650" t="s">
        <v>465</v>
      </c>
      <c r="E7" s="648">
        <v>0.14000000000000001</v>
      </c>
      <c r="F7" s="651"/>
      <c r="G7" s="653">
        <f t="shared" si="0"/>
        <v>0</v>
      </c>
    </row>
    <row r="8" spans="1:7">
      <c r="A8" s="282"/>
      <c r="B8" s="647"/>
      <c r="C8" s="282"/>
      <c r="D8" s="650" t="s">
        <v>466</v>
      </c>
      <c r="E8" s="648">
        <v>0.11</v>
      </c>
      <c r="F8" s="651"/>
      <c r="G8" s="653">
        <f t="shared" si="0"/>
        <v>0</v>
      </c>
    </row>
    <row r="9" spans="1:7">
      <c r="A9" s="282"/>
      <c r="B9" s="647"/>
      <c r="C9" s="282"/>
      <c r="D9" s="650" t="s">
        <v>467</v>
      </c>
      <c r="E9" s="648">
        <v>0.09</v>
      </c>
      <c r="F9" s="651"/>
      <c r="G9" s="653">
        <f t="shared" si="0"/>
        <v>0</v>
      </c>
    </row>
    <row r="10" spans="1:7">
      <c r="A10" s="282"/>
      <c r="B10" s="647"/>
      <c r="C10" s="282"/>
      <c r="D10" s="650" t="s">
        <v>468</v>
      </c>
      <c r="E10" s="648">
        <v>0.03</v>
      </c>
      <c r="F10" s="651"/>
      <c r="G10" s="653">
        <f t="shared" si="0"/>
        <v>0</v>
      </c>
    </row>
    <row r="11" spans="1:7" ht="47.25">
      <c r="A11" s="282"/>
      <c r="B11" s="647"/>
      <c r="C11" s="282"/>
      <c r="D11" s="650" t="s">
        <v>658</v>
      </c>
      <c r="E11" s="648">
        <v>0.05</v>
      </c>
      <c r="F11" s="651"/>
      <c r="G11" s="653">
        <f>F11*E11</f>
        <v>0</v>
      </c>
    </row>
    <row r="12" spans="1:7">
      <c r="A12" s="45"/>
      <c r="B12" s="35" t="s">
        <v>848</v>
      </c>
      <c r="C12" s="45">
        <v>0.33</v>
      </c>
      <c r="D12" s="47"/>
      <c r="E12" s="42">
        <f>SUM(E4:E11)</f>
        <v>1</v>
      </c>
      <c r="F12" s="47" t="s">
        <v>46</v>
      </c>
      <c r="G12" s="29">
        <f>SUM(G4:G11)*C12</f>
        <v>0</v>
      </c>
    </row>
    <row r="13" spans="1:7" ht="141.75">
      <c r="A13" s="282" t="s">
        <v>76</v>
      </c>
      <c r="B13" s="647" t="s">
        <v>75</v>
      </c>
      <c r="C13" s="282"/>
      <c r="D13" s="282" t="s">
        <v>659</v>
      </c>
      <c r="E13" s="648">
        <v>0.03</v>
      </c>
      <c r="F13" s="282"/>
      <c r="G13" s="653">
        <f t="shared" si="0"/>
        <v>0</v>
      </c>
    </row>
    <row r="14" spans="1:7" ht="126">
      <c r="A14" s="282"/>
      <c r="B14" s="647"/>
      <c r="C14" s="282"/>
      <c r="D14" s="282" t="s">
        <v>660</v>
      </c>
      <c r="E14" s="648">
        <v>0.1</v>
      </c>
      <c r="F14" s="282"/>
      <c r="G14" s="653">
        <f t="shared" si="0"/>
        <v>0</v>
      </c>
    </row>
    <row r="15" spans="1:7" ht="141.75">
      <c r="A15" s="282"/>
      <c r="B15" s="647"/>
      <c r="C15" s="282"/>
      <c r="D15" s="282" t="s">
        <v>515</v>
      </c>
      <c r="E15" s="648">
        <v>0.08</v>
      </c>
      <c r="F15" s="282"/>
      <c r="G15" s="653">
        <f t="shared" si="0"/>
        <v>0</v>
      </c>
    </row>
    <row r="16" spans="1:7" ht="157.5">
      <c r="A16" s="282"/>
      <c r="B16" s="647"/>
      <c r="C16" s="282"/>
      <c r="D16" s="282" t="s">
        <v>516</v>
      </c>
      <c r="E16" s="648">
        <v>0.06</v>
      </c>
      <c r="F16" s="282"/>
      <c r="G16" s="653">
        <f t="shared" si="0"/>
        <v>0</v>
      </c>
    </row>
    <row r="17" spans="1:7" ht="47.25">
      <c r="A17" s="282"/>
      <c r="B17" s="647"/>
      <c r="C17" s="282"/>
      <c r="D17" s="282" t="s">
        <v>517</v>
      </c>
      <c r="E17" s="648">
        <v>0.11</v>
      </c>
      <c r="F17" s="282"/>
      <c r="G17" s="653">
        <f t="shared" si="0"/>
        <v>0</v>
      </c>
    </row>
    <row r="18" spans="1:7" ht="31.5">
      <c r="A18" s="282"/>
      <c r="B18" s="647"/>
      <c r="C18" s="282"/>
      <c r="D18" s="282" t="s">
        <v>518</v>
      </c>
      <c r="E18" s="648">
        <v>0.03</v>
      </c>
      <c r="F18" s="282"/>
      <c r="G18" s="653">
        <f t="shared" si="0"/>
        <v>0</v>
      </c>
    </row>
    <row r="19" spans="1:7" ht="110.25">
      <c r="A19" s="282"/>
      <c r="B19" s="647"/>
      <c r="C19" s="282"/>
      <c r="D19" s="283" t="s">
        <v>519</v>
      </c>
      <c r="E19" s="648">
        <v>0.16</v>
      </c>
      <c r="F19" s="282"/>
      <c r="G19" s="653">
        <f t="shared" si="0"/>
        <v>0</v>
      </c>
    </row>
    <row r="20" spans="1:7" ht="63">
      <c r="A20" s="282"/>
      <c r="B20" s="647"/>
      <c r="C20" s="282"/>
      <c r="D20" s="282" t="s">
        <v>661</v>
      </c>
      <c r="E20" s="648">
        <v>0.16</v>
      </c>
      <c r="F20" s="282"/>
      <c r="G20" s="653">
        <f t="shared" si="0"/>
        <v>0</v>
      </c>
    </row>
    <row r="21" spans="1:7" ht="94.5">
      <c r="A21" s="282"/>
      <c r="B21" s="647"/>
      <c r="C21" s="282"/>
      <c r="D21" s="282" t="s">
        <v>520</v>
      </c>
      <c r="E21" s="648">
        <v>0.14000000000000001</v>
      </c>
      <c r="F21" s="282"/>
      <c r="G21" s="653">
        <f t="shared" si="0"/>
        <v>0</v>
      </c>
    </row>
    <row r="22" spans="1:7" ht="78.75">
      <c r="A22" s="282"/>
      <c r="B22" s="647"/>
      <c r="C22" s="282"/>
      <c r="D22" s="282" t="s">
        <v>521</v>
      </c>
      <c r="E22" s="648">
        <v>0.13</v>
      </c>
      <c r="F22" s="282"/>
      <c r="G22" s="653">
        <f t="shared" si="0"/>
        <v>0</v>
      </c>
    </row>
    <row r="23" spans="1:7">
      <c r="A23" s="45"/>
      <c r="B23" s="35" t="s">
        <v>848</v>
      </c>
      <c r="C23" s="45">
        <v>0.67</v>
      </c>
      <c r="D23" s="48"/>
      <c r="E23" s="30">
        <f>SUM(E13:E22)</f>
        <v>1</v>
      </c>
      <c r="F23" s="48" t="s">
        <v>47</v>
      </c>
      <c r="G23" s="29">
        <f>SUM(G13:G22)*C23</f>
        <v>0</v>
      </c>
    </row>
    <row r="24" spans="1:7">
      <c r="A24" s="40"/>
      <c r="B24" s="36" t="s">
        <v>443</v>
      </c>
      <c r="C24" s="40">
        <f>SUM(C23,C12)</f>
        <v>1</v>
      </c>
      <c r="D24" s="40"/>
      <c r="E24" s="39">
        <v>2</v>
      </c>
      <c r="F24" s="40"/>
      <c r="G24" s="39">
        <f>SUBTOTAL(9,G12,G23)</f>
        <v>0</v>
      </c>
    </row>
    <row r="25" spans="1:7">
      <c r="A25" s="12"/>
      <c r="B25" s="26" t="s">
        <v>444</v>
      </c>
      <c r="C25" s="12"/>
      <c r="D25" s="12"/>
      <c r="E25" s="11"/>
      <c r="F25" s="6"/>
      <c r="G25" s="21" t="str">
        <f>IF(G24&lt;=0.5,"низький",IF(G24&lt;=0.75,"середній",(IF(G24&lt;=0.95,"достатній",(IF(G24&lt;=1,"високий"))))))</f>
        <v>низький</v>
      </c>
    </row>
    <row r="26" spans="1:7" s="302" customFormat="1">
      <c r="A26" s="288" t="s">
        <v>182</v>
      </c>
      <c r="B26" s="289"/>
      <c r="C26" s="342"/>
      <c r="E26" s="343"/>
      <c r="F26" s="344"/>
      <c r="G26" s="112"/>
    </row>
    <row r="27" spans="1:7" s="302" customFormat="1" ht="17.25">
      <c r="A27" s="345" t="s">
        <v>589</v>
      </c>
      <c r="B27" s="346"/>
      <c r="C27" s="347"/>
      <c r="D27" s="303"/>
      <c r="E27" s="348"/>
      <c r="F27" s="349"/>
      <c r="G27" s="112"/>
    </row>
    <row r="28" spans="1:7" s="302" customFormat="1" ht="17.25">
      <c r="A28" s="345" t="s">
        <v>590</v>
      </c>
      <c r="B28" s="346"/>
      <c r="C28" s="347"/>
      <c r="D28" s="303"/>
      <c r="E28" s="348"/>
      <c r="F28" s="349"/>
      <c r="G28" s="112"/>
    </row>
    <row r="29" spans="1:7" s="302" customFormat="1" ht="17.25">
      <c r="A29" s="345" t="s">
        <v>591</v>
      </c>
      <c r="B29" s="346"/>
      <c r="C29" s="347"/>
      <c r="D29" s="303"/>
      <c r="E29" s="348"/>
      <c r="F29" s="349"/>
      <c r="G29" s="112"/>
    </row>
    <row r="30" spans="1:7" s="302" customFormat="1" ht="17.25">
      <c r="A30" s="345" t="s">
        <v>592</v>
      </c>
      <c r="B30" s="346"/>
      <c r="C30" s="347"/>
      <c r="D30" s="303"/>
      <c r="E30" s="348"/>
      <c r="F30" s="349"/>
      <c r="G30" s="112"/>
    </row>
    <row r="31" spans="1:7" s="302" customFormat="1" ht="17.25">
      <c r="A31" s="345" t="s">
        <v>593</v>
      </c>
      <c r="B31" s="346"/>
      <c r="C31" s="347"/>
      <c r="D31" s="303"/>
      <c r="E31" s="348"/>
      <c r="F31" s="349"/>
      <c r="G31" s="112"/>
    </row>
    <row r="32" spans="1:7" s="302" customFormat="1" ht="17.25">
      <c r="A32" s="345" t="s">
        <v>594</v>
      </c>
      <c r="B32" s="346"/>
      <c r="C32" s="347"/>
      <c r="D32" s="303"/>
      <c r="E32" s="348"/>
      <c r="F32" s="349"/>
      <c r="G32" s="112"/>
    </row>
    <row r="33" spans="1:7" s="302" customFormat="1" ht="17.25">
      <c r="A33" s="345" t="s">
        <v>595</v>
      </c>
      <c r="B33" s="346"/>
      <c r="C33" s="347"/>
      <c r="D33" s="303"/>
      <c r="E33" s="348"/>
      <c r="F33" s="349"/>
      <c r="G33" s="112"/>
    </row>
    <row r="34" spans="1:7" s="302" customFormat="1">
      <c r="A34" s="350" t="s">
        <v>596</v>
      </c>
      <c r="B34" s="346"/>
      <c r="C34" s="347"/>
      <c r="D34" s="303"/>
      <c r="E34" s="348"/>
      <c r="F34" s="349"/>
      <c r="G34" s="112"/>
    </row>
    <row r="35" spans="1:7" s="302" customFormat="1">
      <c r="A35" s="345" t="s">
        <v>597</v>
      </c>
      <c r="B35" s="346"/>
      <c r="C35" s="347"/>
      <c r="D35" s="303"/>
      <c r="E35" s="348"/>
      <c r="F35" s="349"/>
      <c r="G35" s="112"/>
    </row>
    <row r="36" spans="1:7" s="302" customFormat="1">
      <c r="A36" s="288" t="s">
        <v>792</v>
      </c>
      <c r="B36" s="346"/>
      <c r="C36" s="347"/>
      <c r="D36" s="303"/>
      <c r="E36" s="348"/>
      <c r="F36" s="349"/>
      <c r="G36" s="112"/>
    </row>
    <row r="37" spans="1:7" s="302" customFormat="1">
      <c r="A37" s="288" t="s">
        <v>793</v>
      </c>
      <c r="B37" s="346"/>
      <c r="C37" s="347"/>
      <c r="D37" s="303"/>
      <c r="E37" s="348"/>
      <c r="F37" s="349"/>
      <c r="G37" s="112"/>
    </row>
    <row r="38" spans="1:7" s="302" customFormat="1">
      <c r="A38" s="288" t="s">
        <v>794</v>
      </c>
      <c r="B38" s="346"/>
      <c r="C38" s="347"/>
      <c r="D38" s="303"/>
      <c r="E38" s="348"/>
      <c r="F38" s="349"/>
      <c r="G38" s="112"/>
    </row>
    <row r="39" spans="1:7" s="302" customFormat="1">
      <c r="A39" s="342"/>
      <c r="B39" s="342" t="s">
        <v>20</v>
      </c>
      <c r="C39" s="342"/>
      <c r="D39" s="342"/>
      <c r="E39" s="342"/>
      <c r="F39" s="342"/>
      <c r="G39" s="344"/>
    </row>
    <row r="40" spans="1:7" s="302" customFormat="1">
      <c r="A40" s="351"/>
      <c r="B40" s="351"/>
      <c r="C40" s="351"/>
      <c r="D40" s="351"/>
      <c r="E40" s="351"/>
      <c r="F40" s="351"/>
      <c r="G40" s="654"/>
    </row>
    <row r="41" spans="1:7" s="302" customFormat="1">
      <c r="A41" s="351"/>
      <c r="B41" s="351"/>
      <c r="C41" s="351"/>
      <c r="D41" s="351"/>
      <c r="E41" s="351"/>
      <c r="F41" s="351"/>
      <c r="G41" s="654"/>
    </row>
    <row r="42" spans="1:7" s="302" customFormat="1">
      <c r="A42" s="351"/>
      <c r="B42" s="351"/>
      <c r="C42" s="351"/>
      <c r="D42" s="351"/>
      <c r="E42" s="351"/>
      <c r="F42" s="351"/>
      <c r="G42" s="654"/>
    </row>
    <row r="43" spans="1:7" s="302" customFormat="1">
      <c r="A43" s="351"/>
      <c r="B43" s="351"/>
      <c r="C43" s="351"/>
      <c r="D43" s="351"/>
      <c r="E43" s="351"/>
      <c r="F43" s="351"/>
      <c r="G43" s="654"/>
    </row>
    <row r="44" spans="1:7" s="302" customFormat="1">
      <c r="A44" s="351"/>
      <c r="B44" s="351"/>
      <c r="C44" s="351"/>
      <c r="D44" s="351"/>
      <c r="E44" s="351"/>
      <c r="F44" s="351"/>
      <c r="G44" s="654"/>
    </row>
    <row r="45" spans="1:7" s="302" customFormat="1">
      <c r="A45" s="351"/>
      <c r="B45" s="351"/>
      <c r="C45" s="351"/>
      <c r="D45" s="351"/>
      <c r="E45" s="351"/>
      <c r="F45" s="351"/>
      <c r="G45" s="654"/>
    </row>
    <row r="46" spans="1:7" s="302" customFormat="1">
      <c r="A46" s="351"/>
      <c r="B46" s="351"/>
      <c r="C46" s="351"/>
      <c r="D46" s="351"/>
      <c r="E46" s="351"/>
      <c r="F46" s="351"/>
      <c r="G46" s="654"/>
    </row>
    <row r="47" spans="1:7" s="302" customFormat="1">
      <c r="A47" s="351"/>
      <c r="B47" s="351"/>
      <c r="C47" s="351"/>
      <c r="D47" s="351"/>
      <c r="E47" s="351"/>
      <c r="F47" s="351"/>
      <c r="G47" s="654"/>
    </row>
    <row r="48" spans="1:7" s="302" customFormat="1">
      <c r="A48" s="351"/>
      <c r="B48" s="351"/>
      <c r="C48" s="351"/>
      <c r="D48" s="351"/>
      <c r="E48" s="351"/>
      <c r="F48" s="351"/>
      <c r="G48" s="654"/>
    </row>
    <row r="49" spans="1:7" s="302" customFormat="1">
      <c r="A49" s="351"/>
      <c r="B49" s="351"/>
      <c r="C49" s="351"/>
      <c r="D49" s="351"/>
      <c r="E49" s="351"/>
      <c r="F49" s="351"/>
      <c r="G49" s="654"/>
    </row>
    <row r="50" spans="1:7" s="302" customFormat="1">
      <c r="A50" s="351"/>
      <c r="B50" s="351"/>
      <c r="C50" s="351"/>
      <c r="D50" s="351"/>
      <c r="E50" s="351"/>
      <c r="F50" s="351"/>
      <c r="G50" s="654"/>
    </row>
    <row r="51" spans="1:7" s="302" customFormat="1">
      <c r="A51" s="351"/>
      <c r="B51" s="351"/>
      <c r="C51" s="351"/>
      <c r="D51" s="351"/>
      <c r="E51" s="351"/>
      <c r="F51" s="351"/>
      <c r="G51" s="654"/>
    </row>
    <row r="52" spans="1:7" s="302" customFormat="1">
      <c r="A52" s="351"/>
      <c r="B52" s="351"/>
      <c r="C52" s="351"/>
      <c r="D52" s="351"/>
      <c r="E52" s="351"/>
      <c r="F52" s="351"/>
      <c r="G52" s="654"/>
    </row>
    <row r="53" spans="1:7" s="302" customFormat="1">
      <c r="A53" s="351"/>
      <c r="B53" s="351"/>
      <c r="C53" s="351"/>
      <c r="D53" s="351"/>
      <c r="E53" s="351"/>
      <c r="F53" s="351"/>
      <c r="G53" s="654"/>
    </row>
    <row r="54" spans="1:7" s="302" customFormat="1">
      <c r="A54" s="342"/>
      <c r="B54" s="352" t="s">
        <v>2418</v>
      </c>
      <c r="C54" s="352"/>
      <c r="D54" s="352"/>
      <c r="E54" s="352"/>
      <c r="F54" s="352"/>
      <c r="G54" s="344"/>
    </row>
    <row r="55" spans="1:7" s="302" customFormat="1">
      <c r="A55" s="342"/>
      <c r="B55" s="353"/>
      <c r="C55" s="353"/>
      <c r="D55" s="353"/>
      <c r="E55" s="353"/>
      <c r="F55" s="353"/>
      <c r="G55" s="344"/>
    </row>
    <row r="56" spans="1:7" s="302" customFormat="1">
      <c r="A56" s="342"/>
      <c r="B56" s="352" t="s">
        <v>22</v>
      </c>
      <c r="C56" s="352"/>
      <c r="D56" s="352"/>
      <c r="E56" s="352"/>
      <c r="F56" s="352"/>
      <c r="G56" s="344"/>
    </row>
    <row r="57" spans="1:7" s="302" customFormat="1">
      <c r="A57" s="342"/>
      <c r="B57" s="353"/>
      <c r="C57" s="353"/>
      <c r="D57" s="353"/>
      <c r="E57" s="353"/>
      <c r="F57" s="353"/>
      <c r="G57" s="344"/>
    </row>
    <row r="58" spans="1:7" s="302" customFormat="1">
      <c r="A58" s="342"/>
      <c r="B58" s="352" t="s">
        <v>23</v>
      </c>
      <c r="C58" s="352"/>
      <c r="D58" s="352"/>
      <c r="E58" s="352"/>
      <c r="F58" s="352"/>
      <c r="G58" s="344"/>
    </row>
    <row r="59" spans="1:7" s="302" customFormat="1">
      <c r="A59" s="342"/>
      <c r="B59" s="352" t="s">
        <v>24</v>
      </c>
      <c r="C59" s="352"/>
      <c r="D59" s="352"/>
      <c r="E59" s="352"/>
      <c r="F59" s="352"/>
      <c r="G59" s="344"/>
    </row>
    <row r="60" spans="1:7" s="303" customFormat="1">
      <c r="A60" s="346"/>
      <c r="B60" s="346"/>
      <c r="E60" s="333"/>
      <c r="G60" s="333"/>
    </row>
    <row r="61" spans="1:7" s="101" customFormat="1">
      <c r="A61" s="290"/>
      <c r="B61" s="289"/>
      <c r="C61" s="63"/>
      <c r="E61" s="63"/>
      <c r="G61" s="63"/>
    </row>
    <row r="62" spans="1:7" s="101" customFormat="1">
      <c r="A62" s="290"/>
      <c r="B62" s="289"/>
      <c r="C62" s="63"/>
      <c r="E62" s="63"/>
      <c r="G62" s="63"/>
    </row>
    <row r="63" spans="1:7" s="101" customFormat="1">
      <c r="A63" s="290"/>
      <c r="B63" s="289"/>
      <c r="C63" s="63"/>
      <c r="E63" s="63"/>
      <c r="G63" s="63"/>
    </row>
  </sheetData>
  <autoFilter ref="A3:G25"/>
  <mergeCells count="2">
    <mergeCell ref="A1:G1"/>
    <mergeCell ref="A2:G2"/>
  </mergeCells>
  <phoneticPr fontId="4" type="noConversion"/>
  <pageMargins left="0.7" right="0.7" top="0.75" bottom="0.75" header="0.3" footer="0.3"/>
  <pageSetup paperSize="9" scale="63" orientation="portrait" r:id="rId1"/>
</worksheet>
</file>

<file path=xl/worksheets/sheet15.xml><?xml version="1.0" encoding="utf-8"?>
<worksheet xmlns="http://schemas.openxmlformats.org/spreadsheetml/2006/main" xmlns:r="http://schemas.openxmlformats.org/officeDocument/2006/relationships">
  <dimension ref="A1:G51"/>
  <sheetViews>
    <sheetView topLeftCell="A7" workbookViewId="0">
      <selection activeCell="B42" sqref="A1:IV65536"/>
    </sheetView>
  </sheetViews>
  <sheetFormatPr defaultRowHeight="15.75"/>
  <cols>
    <col min="1" max="1" width="7" style="81" bestFit="1" customWidth="1"/>
    <col min="2" max="2" width="20.85546875" style="115" customWidth="1"/>
    <col min="3" max="3" width="13.28515625" style="63" customWidth="1"/>
    <col min="4" max="4" width="48.28515625" style="25" customWidth="1"/>
    <col min="5" max="5" width="16.42578125" style="63" customWidth="1"/>
    <col min="6" max="6" width="17.7109375" style="63" customWidth="1"/>
    <col min="7" max="7" width="13.5703125" style="63" bestFit="1" customWidth="1"/>
    <col min="8" max="16384" width="9.140625" style="101"/>
  </cols>
  <sheetData>
    <row r="1" spans="1:7" ht="15.75" customHeight="1">
      <c r="A1" s="1132" t="s">
        <v>446</v>
      </c>
      <c r="B1" s="1132"/>
      <c r="C1" s="1132"/>
      <c r="D1" s="1132"/>
      <c r="E1" s="1132"/>
      <c r="F1" s="1132"/>
      <c r="G1" s="1132"/>
    </row>
    <row r="2" spans="1:7" ht="50.25" customHeight="1">
      <c r="A2" s="1131" t="s">
        <v>1588</v>
      </c>
      <c r="B2" s="1132"/>
      <c r="C2" s="1132"/>
      <c r="D2" s="1132"/>
      <c r="E2" s="1132"/>
      <c r="F2" s="1132"/>
      <c r="G2" s="1132"/>
    </row>
    <row r="4" spans="1:7" ht="63">
      <c r="A4" s="5" t="s">
        <v>434</v>
      </c>
      <c r="B4" s="5" t="s">
        <v>338</v>
      </c>
      <c r="C4" s="287" t="s">
        <v>771</v>
      </c>
      <c r="D4" s="287" t="s">
        <v>333</v>
      </c>
      <c r="E4" s="287" t="s">
        <v>337</v>
      </c>
      <c r="F4" s="287" t="s">
        <v>770</v>
      </c>
      <c r="G4" s="287" t="s">
        <v>82</v>
      </c>
    </row>
    <row r="5" spans="1:7" ht="63">
      <c r="A5" s="84">
        <v>1</v>
      </c>
      <c r="B5" s="292" t="s">
        <v>1580</v>
      </c>
      <c r="C5" s="100"/>
      <c r="D5" s="688" t="s">
        <v>1581</v>
      </c>
      <c r="E5" s="689">
        <v>0.25</v>
      </c>
      <c r="F5" s="100"/>
      <c r="G5" s="100">
        <f>SUM(F5)*E5</f>
        <v>0</v>
      </c>
    </row>
    <row r="6" spans="1:7" ht="31.5">
      <c r="A6" s="84"/>
      <c r="B6" s="167"/>
      <c r="C6" s="100"/>
      <c r="D6" s="690" t="s">
        <v>1582</v>
      </c>
      <c r="E6" s="689">
        <v>0.21</v>
      </c>
      <c r="F6" s="100"/>
      <c r="G6" s="100">
        <f t="shared" ref="G6:G11" si="0">SUM(F6)*E6</f>
        <v>0</v>
      </c>
    </row>
    <row r="7" spans="1:7" ht="47.25">
      <c r="A7" s="84"/>
      <c r="B7" s="167"/>
      <c r="C7" s="100"/>
      <c r="D7" s="690" t="s">
        <v>1583</v>
      </c>
      <c r="E7" s="689">
        <v>0.14000000000000001</v>
      </c>
      <c r="F7" s="100"/>
      <c r="G7" s="100">
        <f t="shared" si="0"/>
        <v>0</v>
      </c>
    </row>
    <row r="8" spans="1:7" ht="47.25">
      <c r="A8" s="84"/>
      <c r="B8" s="167"/>
      <c r="C8" s="100"/>
      <c r="D8" s="690" t="s">
        <v>1584</v>
      </c>
      <c r="E8" s="689">
        <v>0.18</v>
      </c>
      <c r="F8" s="100"/>
      <c r="G8" s="100">
        <f t="shared" si="0"/>
        <v>0</v>
      </c>
    </row>
    <row r="9" spans="1:7" ht="31.5">
      <c r="A9" s="84"/>
      <c r="B9" s="167"/>
      <c r="C9" s="100"/>
      <c r="D9" s="690" t="s">
        <v>1585</v>
      </c>
      <c r="E9" s="689">
        <v>7.0000000000000007E-2</v>
      </c>
      <c r="F9" s="100"/>
      <c r="G9" s="100">
        <f t="shared" si="0"/>
        <v>0</v>
      </c>
    </row>
    <row r="10" spans="1:7" ht="31.5">
      <c r="A10" s="84"/>
      <c r="B10" s="167"/>
      <c r="C10" s="100"/>
      <c r="D10" s="690" t="s">
        <v>1586</v>
      </c>
      <c r="E10" s="689">
        <v>0.11</v>
      </c>
      <c r="F10" s="100"/>
      <c r="G10" s="100">
        <f t="shared" si="0"/>
        <v>0</v>
      </c>
    </row>
    <row r="11" spans="1:7" ht="47.25">
      <c r="A11" s="84"/>
      <c r="B11" s="167"/>
      <c r="C11" s="100"/>
      <c r="D11" s="690" t="s">
        <v>1587</v>
      </c>
      <c r="E11" s="689">
        <v>0.04</v>
      </c>
      <c r="F11" s="100"/>
      <c r="G11" s="100">
        <f t="shared" si="0"/>
        <v>0</v>
      </c>
    </row>
    <row r="12" spans="1:7">
      <c r="A12" s="41"/>
      <c r="B12" s="28" t="s">
        <v>848</v>
      </c>
      <c r="C12" s="30">
        <v>1</v>
      </c>
      <c r="D12" s="622"/>
      <c r="E12" s="30">
        <f>SUM(E5:E11)</f>
        <v>1</v>
      </c>
      <c r="F12" s="30" t="s">
        <v>49</v>
      </c>
      <c r="G12" s="30">
        <f>SUM(G5:G11)*C12</f>
        <v>0</v>
      </c>
    </row>
    <row r="13" spans="1:7" ht="14.25" customHeight="1">
      <c r="A13" s="12"/>
      <c r="B13" s="26" t="s">
        <v>444</v>
      </c>
      <c r="C13" s="10"/>
      <c r="D13" s="10"/>
      <c r="E13" s="11"/>
      <c r="F13" s="3"/>
      <c r="G13" s="21" t="str">
        <f>IF(G12&lt;=0.5,"низький",IF(G12&lt;=0.75,"середній",(IF(G12&lt;=0.95,"достатній",(IF(G12&lt;=1,"високий"))))))</f>
        <v>низький</v>
      </c>
    </row>
    <row r="14" spans="1:7" s="302" customFormat="1">
      <c r="A14" s="288" t="s">
        <v>182</v>
      </c>
      <c r="B14" s="289"/>
      <c r="C14" s="342"/>
      <c r="E14" s="343"/>
      <c r="F14" s="344"/>
      <c r="G14" s="112"/>
    </row>
    <row r="15" spans="1:7" s="302" customFormat="1" ht="17.25">
      <c r="A15" s="345" t="s">
        <v>589</v>
      </c>
      <c r="B15" s="346"/>
      <c r="C15" s="347"/>
      <c r="D15" s="303"/>
      <c r="E15" s="348"/>
      <c r="F15" s="349"/>
      <c r="G15" s="112"/>
    </row>
    <row r="16" spans="1:7" s="302" customFormat="1" ht="17.25">
      <c r="A16" s="345" t="s">
        <v>590</v>
      </c>
      <c r="B16" s="346"/>
      <c r="C16" s="347"/>
      <c r="D16" s="303"/>
      <c r="E16" s="348"/>
      <c r="F16" s="349"/>
      <c r="G16" s="112"/>
    </row>
    <row r="17" spans="1:7" s="302" customFormat="1" ht="17.25">
      <c r="A17" s="345" t="s">
        <v>591</v>
      </c>
      <c r="B17" s="346"/>
      <c r="C17" s="347"/>
      <c r="D17" s="303"/>
      <c r="E17" s="348"/>
      <c r="F17" s="349"/>
      <c r="G17" s="112"/>
    </row>
    <row r="18" spans="1:7" s="302" customFormat="1" ht="17.25">
      <c r="A18" s="345" t="s">
        <v>592</v>
      </c>
      <c r="B18" s="346"/>
      <c r="C18" s="347"/>
      <c r="D18" s="303"/>
      <c r="E18" s="348"/>
      <c r="F18" s="349"/>
      <c r="G18" s="112"/>
    </row>
    <row r="19" spans="1:7" s="302" customFormat="1" ht="17.25">
      <c r="A19" s="345" t="s">
        <v>593</v>
      </c>
      <c r="B19" s="346"/>
      <c r="C19" s="347"/>
      <c r="D19" s="303"/>
      <c r="E19" s="348"/>
      <c r="F19" s="349"/>
      <c r="G19" s="112"/>
    </row>
    <row r="20" spans="1:7" s="302" customFormat="1" ht="17.25">
      <c r="A20" s="345" t="s">
        <v>594</v>
      </c>
      <c r="B20" s="346"/>
      <c r="C20" s="347"/>
      <c r="D20" s="303"/>
      <c r="E20" s="348"/>
      <c r="F20" s="349"/>
      <c r="G20" s="112"/>
    </row>
    <row r="21" spans="1:7" s="302" customFormat="1" ht="17.25">
      <c r="A21" s="345" t="s">
        <v>595</v>
      </c>
      <c r="B21" s="346"/>
      <c r="C21" s="347"/>
      <c r="D21" s="303"/>
      <c r="E21" s="348"/>
      <c r="F21" s="349"/>
      <c r="G21" s="112"/>
    </row>
    <row r="22" spans="1:7" s="302" customFormat="1">
      <c r="A22" s="350" t="s">
        <v>596</v>
      </c>
      <c r="B22" s="346"/>
      <c r="C22" s="347"/>
      <c r="D22" s="303"/>
      <c r="E22" s="348"/>
      <c r="F22" s="349"/>
      <c r="G22" s="112"/>
    </row>
    <row r="23" spans="1:7" s="302" customFormat="1">
      <c r="A23" s="345" t="s">
        <v>597</v>
      </c>
      <c r="B23" s="346"/>
      <c r="C23" s="347"/>
      <c r="D23" s="303"/>
      <c r="E23" s="348"/>
      <c r="F23" s="349"/>
      <c r="G23" s="112"/>
    </row>
    <row r="24" spans="1:7" s="302" customFormat="1">
      <c r="A24" s="288" t="s">
        <v>792</v>
      </c>
      <c r="B24" s="346"/>
      <c r="C24" s="347"/>
      <c r="D24" s="303"/>
      <c r="E24" s="348"/>
      <c r="F24" s="349"/>
      <c r="G24" s="112"/>
    </row>
    <row r="25" spans="1:7" s="302" customFormat="1">
      <c r="A25" s="288" t="s">
        <v>793</v>
      </c>
      <c r="B25" s="346"/>
      <c r="C25" s="347"/>
      <c r="D25" s="303"/>
      <c r="E25" s="348"/>
      <c r="F25" s="349"/>
      <c r="G25" s="112"/>
    </row>
    <row r="26" spans="1:7" s="302" customFormat="1">
      <c r="A26" s="288" t="s">
        <v>794</v>
      </c>
      <c r="B26" s="346"/>
      <c r="C26" s="347"/>
      <c r="D26" s="303"/>
      <c r="E26" s="348"/>
      <c r="F26" s="349"/>
      <c r="G26" s="112"/>
    </row>
    <row r="27" spans="1:7" s="302" customFormat="1">
      <c r="A27" s="342"/>
      <c r="B27" s="342" t="s">
        <v>20</v>
      </c>
      <c r="C27" s="342"/>
      <c r="D27" s="342"/>
      <c r="E27" s="342"/>
      <c r="F27" s="344"/>
      <c r="G27" s="342"/>
    </row>
    <row r="28" spans="1:7" s="302" customFormat="1">
      <c r="A28" s="351"/>
      <c r="B28" s="351"/>
      <c r="C28" s="351"/>
      <c r="D28" s="351"/>
      <c r="E28" s="351"/>
      <c r="F28" s="654"/>
      <c r="G28" s="351"/>
    </row>
    <row r="29" spans="1:7" s="302" customFormat="1">
      <c r="A29" s="351"/>
      <c r="B29" s="351"/>
      <c r="C29" s="351"/>
      <c r="D29" s="351"/>
      <c r="E29" s="351"/>
      <c r="F29" s="654"/>
      <c r="G29" s="351"/>
    </row>
    <row r="30" spans="1:7" s="302" customFormat="1">
      <c r="A30" s="351"/>
      <c r="B30" s="351"/>
      <c r="C30" s="351"/>
      <c r="D30" s="351"/>
      <c r="E30" s="351"/>
      <c r="F30" s="654"/>
      <c r="G30" s="351"/>
    </row>
    <row r="31" spans="1:7" s="302" customFormat="1">
      <c r="A31" s="351"/>
      <c r="B31" s="351"/>
      <c r="C31" s="351"/>
      <c r="D31" s="351"/>
      <c r="E31" s="351"/>
      <c r="F31" s="654"/>
      <c r="G31" s="351"/>
    </row>
    <row r="32" spans="1:7" s="302" customFormat="1">
      <c r="A32" s="351"/>
      <c r="B32" s="351"/>
      <c r="C32" s="351"/>
      <c r="D32" s="351"/>
      <c r="E32" s="351"/>
      <c r="F32" s="654"/>
      <c r="G32" s="351"/>
    </row>
    <row r="33" spans="1:7" s="302" customFormat="1">
      <c r="A33" s="351"/>
      <c r="B33" s="351"/>
      <c r="C33" s="351"/>
      <c r="D33" s="351"/>
      <c r="E33" s="351"/>
      <c r="F33" s="654"/>
      <c r="G33" s="351"/>
    </row>
    <row r="34" spans="1:7" s="302" customFormat="1">
      <c r="A34" s="351"/>
      <c r="B34" s="351"/>
      <c r="C34" s="351"/>
      <c r="D34" s="351"/>
      <c r="E34" s="351"/>
      <c r="F34" s="654"/>
      <c r="G34" s="351"/>
    </row>
    <row r="35" spans="1:7" s="302" customFormat="1">
      <c r="A35" s="351"/>
      <c r="B35" s="351"/>
      <c r="C35" s="351"/>
      <c r="D35" s="351"/>
      <c r="E35" s="351"/>
      <c r="F35" s="654"/>
      <c r="G35" s="351"/>
    </row>
    <row r="36" spans="1:7" s="302" customFormat="1">
      <c r="A36" s="351"/>
      <c r="B36" s="351"/>
      <c r="C36" s="351"/>
      <c r="D36" s="351"/>
      <c r="E36" s="351"/>
      <c r="F36" s="654"/>
      <c r="G36" s="351"/>
    </row>
    <row r="37" spans="1:7" s="302" customFormat="1">
      <c r="A37" s="351"/>
      <c r="B37" s="351"/>
      <c r="C37" s="351"/>
      <c r="D37" s="351"/>
      <c r="E37" s="351"/>
      <c r="F37" s="654"/>
      <c r="G37" s="351"/>
    </row>
    <row r="38" spans="1:7" s="302" customFormat="1">
      <c r="A38" s="351"/>
      <c r="B38" s="351"/>
      <c r="C38" s="351"/>
      <c r="D38" s="351"/>
      <c r="E38" s="351"/>
      <c r="F38" s="654"/>
      <c r="G38" s="351"/>
    </row>
    <row r="39" spans="1:7" s="302" customFormat="1">
      <c r="A39" s="351"/>
      <c r="B39" s="351"/>
      <c r="C39" s="351"/>
      <c r="D39" s="351"/>
      <c r="E39" s="351"/>
      <c r="F39" s="654"/>
      <c r="G39" s="351"/>
    </row>
    <row r="40" spans="1:7" s="302" customFormat="1">
      <c r="A40" s="351"/>
      <c r="B40" s="351"/>
      <c r="C40" s="351"/>
      <c r="D40" s="351"/>
      <c r="E40" s="351"/>
      <c r="F40" s="654"/>
      <c r="G40" s="351"/>
    </row>
    <row r="41" spans="1:7" s="302" customFormat="1">
      <c r="A41" s="351"/>
      <c r="B41" s="351"/>
      <c r="C41" s="351"/>
      <c r="D41" s="351"/>
      <c r="E41" s="351"/>
      <c r="F41" s="654"/>
      <c r="G41" s="351"/>
    </row>
    <row r="42" spans="1:7" s="302" customFormat="1">
      <c r="A42" s="342"/>
      <c r="B42" s="352" t="s">
        <v>2418</v>
      </c>
      <c r="C42" s="352"/>
      <c r="D42" s="352"/>
      <c r="E42" s="352"/>
      <c r="F42" s="344"/>
      <c r="G42" s="352"/>
    </row>
    <row r="43" spans="1:7" s="302" customFormat="1">
      <c r="A43" s="342"/>
      <c r="B43" s="353"/>
      <c r="C43" s="353"/>
      <c r="D43" s="353"/>
      <c r="E43" s="353"/>
      <c r="F43" s="344"/>
      <c r="G43" s="353"/>
    </row>
    <row r="44" spans="1:7" s="302" customFormat="1">
      <c r="A44" s="342"/>
      <c r="B44" s="352" t="s">
        <v>22</v>
      </c>
      <c r="C44" s="352"/>
      <c r="D44" s="352"/>
      <c r="E44" s="352"/>
      <c r="F44" s="344"/>
      <c r="G44" s="352"/>
    </row>
    <row r="45" spans="1:7" s="302" customFormat="1">
      <c r="A45" s="342"/>
      <c r="B45" s="353"/>
      <c r="C45" s="353"/>
      <c r="D45" s="353"/>
      <c r="E45" s="353"/>
      <c r="F45" s="344"/>
      <c r="G45" s="353"/>
    </row>
    <row r="46" spans="1:7" s="302" customFormat="1">
      <c r="A46" s="342"/>
      <c r="B46" s="352" t="s">
        <v>23</v>
      </c>
      <c r="C46" s="352"/>
      <c r="D46" s="352"/>
      <c r="E46" s="352"/>
      <c r="F46" s="344"/>
      <c r="G46" s="352"/>
    </row>
    <row r="47" spans="1:7" s="302" customFormat="1">
      <c r="A47" s="342"/>
      <c r="B47" s="352" t="s">
        <v>24</v>
      </c>
      <c r="C47" s="352"/>
      <c r="D47" s="352"/>
      <c r="E47" s="352"/>
      <c r="F47" s="344"/>
      <c r="G47" s="352"/>
    </row>
    <row r="48" spans="1:7" s="303" customFormat="1">
      <c r="A48" s="346"/>
      <c r="B48" s="346"/>
      <c r="E48" s="333"/>
      <c r="F48" s="333"/>
    </row>
    <row r="49" spans="1:7">
      <c r="A49" s="290"/>
      <c r="B49" s="289"/>
      <c r="D49" s="101"/>
      <c r="G49" s="101"/>
    </row>
    <row r="50" spans="1:7">
      <c r="A50" s="290"/>
      <c r="B50" s="289"/>
      <c r="D50" s="101"/>
      <c r="G50" s="101"/>
    </row>
    <row r="51" spans="1:7">
      <c r="A51" s="290"/>
      <c r="B51" s="289"/>
      <c r="D51" s="101"/>
      <c r="G51" s="101"/>
    </row>
  </sheetData>
  <mergeCells count="2">
    <mergeCell ref="A1:G1"/>
    <mergeCell ref="A2:G2"/>
  </mergeCells>
  <phoneticPr fontId="4" type="noConversion"/>
  <pageMargins left="0.7" right="0.7" top="0.75" bottom="0.75" header="0.3" footer="0.3"/>
  <pageSetup paperSize="9" scale="60" orientation="portrait" r:id="rId1"/>
</worksheet>
</file>

<file path=xl/worksheets/sheet16.xml><?xml version="1.0" encoding="utf-8"?>
<worksheet xmlns="http://schemas.openxmlformats.org/spreadsheetml/2006/main" xmlns:r="http://schemas.openxmlformats.org/officeDocument/2006/relationships">
  <dimension ref="A1:L71"/>
  <sheetViews>
    <sheetView workbookViewId="0">
      <selection activeCell="B59" sqref="B59"/>
    </sheetView>
  </sheetViews>
  <sheetFormatPr defaultColWidth="9" defaultRowHeight="18.75"/>
  <cols>
    <col min="1" max="1" width="6.7109375" style="183" customWidth="1"/>
    <col min="2" max="2" width="5.85546875" style="183" customWidth="1"/>
    <col min="3" max="3" width="16.28515625" style="183" customWidth="1"/>
    <col min="4" max="4" width="7" style="183" customWidth="1"/>
    <col min="5" max="5" width="9.28515625" style="183" customWidth="1"/>
    <col min="6" max="6" width="35.42578125" style="183" customWidth="1"/>
    <col min="7" max="7" width="6.85546875" style="183" customWidth="1"/>
    <col min="8" max="8" width="7.28515625" style="183" customWidth="1"/>
    <col min="9" max="9" width="6.42578125" style="183" customWidth="1"/>
    <col min="10" max="10" width="7.140625" style="183" customWidth="1"/>
    <col min="11" max="16384" width="9" style="183"/>
  </cols>
  <sheetData>
    <row r="1" spans="1:12">
      <c r="A1" s="1232" t="s">
        <v>446</v>
      </c>
      <c r="B1" s="1232"/>
      <c r="C1" s="1232"/>
      <c r="D1" s="1232"/>
      <c r="E1" s="1232"/>
      <c r="F1" s="1232"/>
      <c r="G1" s="1232"/>
      <c r="H1" s="1232"/>
      <c r="I1" s="1232"/>
      <c r="J1" s="1232"/>
      <c r="K1" s="182"/>
      <c r="L1" s="182"/>
    </row>
    <row r="2" spans="1:12" ht="70.5" customHeight="1">
      <c r="A2" s="1233" t="s">
        <v>274</v>
      </c>
      <c r="B2" s="1233"/>
      <c r="C2" s="1233"/>
      <c r="D2" s="1233"/>
      <c r="E2" s="1233"/>
      <c r="F2" s="1233"/>
      <c r="G2" s="1233"/>
      <c r="H2" s="1233"/>
      <c r="I2" s="1233"/>
      <c r="J2" s="1233"/>
      <c r="K2" s="184"/>
      <c r="L2" s="184"/>
    </row>
    <row r="3" spans="1:12">
      <c r="A3" s="1232" t="s">
        <v>449</v>
      </c>
      <c r="B3" s="1232"/>
      <c r="C3" s="1232"/>
      <c r="D3" s="1232"/>
      <c r="E3" s="1232"/>
      <c r="F3" s="1232"/>
      <c r="G3" s="1232"/>
      <c r="H3" s="1232"/>
      <c r="I3" s="1232"/>
      <c r="J3" s="1232"/>
      <c r="K3" s="182"/>
      <c r="L3" s="182"/>
    </row>
    <row r="4" spans="1:12">
      <c r="A4" s="185"/>
      <c r="B4" s="185"/>
    </row>
    <row r="5" spans="1:12" ht="96" customHeight="1">
      <c r="A5" s="186" t="s">
        <v>434</v>
      </c>
      <c r="B5" s="1234" t="s">
        <v>1048</v>
      </c>
      <c r="C5" s="1234"/>
      <c r="D5" s="1234" t="s">
        <v>451</v>
      </c>
      <c r="E5" s="1234"/>
      <c r="F5" s="186" t="s">
        <v>452</v>
      </c>
      <c r="G5" s="1234" t="s">
        <v>633</v>
      </c>
      <c r="H5" s="1234"/>
      <c r="I5" s="1234" t="s">
        <v>453</v>
      </c>
      <c r="J5" s="1234"/>
    </row>
    <row r="6" spans="1:12" ht="78.75" customHeight="1">
      <c r="A6" s="1235" t="s">
        <v>454</v>
      </c>
      <c r="B6" s="1237" t="s">
        <v>553</v>
      </c>
      <c r="C6" s="1238"/>
      <c r="D6" s="187"/>
      <c r="E6" s="188"/>
      <c r="F6" s="189" t="s">
        <v>275</v>
      </c>
      <c r="G6" s="190" t="s">
        <v>276</v>
      </c>
      <c r="H6" s="191">
        <v>0.09</v>
      </c>
      <c r="I6" s="192" t="s">
        <v>277</v>
      </c>
      <c r="J6" s="193"/>
    </row>
    <row r="7" spans="1:12" ht="58.5" customHeight="1">
      <c r="A7" s="1236"/>
      <c r="B7" s="1243" t="s">
        <v>564</v>
      </c>
      <c r="C7" s="1244"/>
      <c r="D7" s="195"/>
      <c r="E7" s="196"/>
      <c r="F7" s="197" t="s">
        <v>461</v>
      </c>
      <c r="G7" s="190" t="s">
        <v>278</v>
      </c>
      <c r="H7" s="191">
        <v>0.17</v>
      </c>
      <c r="I7" s="198" t="s">
        <v>279</v>
      </c>
      <c r="J7" s="199"/>
    </row>
    <row r="8" spans="1:12" ht="75.75">
      <c r="A8" s="1236"/>
      <c r="B8" s="1243"/>
      <c r="C8" s="1244"/>
      <c r="D8" s="200" t="s">
        <v>280</v>
      </c>
      <c r="E8" s="201">
        <v>0.28000000000000003</v>
      </c>
      <c r="F8" s="197" t="s">
        <v>281</v>
      </c>
      <c r="G8" s="190" t="s">
        <v>282</v>
      </c>
      <c r="H8" s="191">
        <v>0.21</v>
      </c>
      <c r="I8" s="198" t="s">
        <v>283</v>
      </c>
      <c r="J8" s="199"/>
    </row>
    <row r="9" spans="1:12" ht="75">
      <c r="A9" s="1236"/>
      <c r="B9" s="1243"/>
      <c r="C9" s="1244"/>
      <c r="D9" s="195"/>
      <c r="E9" s="196"/>
      <c r="F9" s="189" t="s">
        <v>555</v>
      </c>
      <c r="G9" s="190" t="s">
        <v>284</v>
      </c>
      <c r="H9" s="191">
        <v>0.2</v>
      </c>
      <c r="I9" s="198" t="s">
        <v>285</v>
      </c>
      <c r="J9" s="199"/>
    </row>
    <row r="10" spans="1:12" ht="37.5">
      <c r="A10" s="1236"/>
      <c r="B10" s="1243"/>
      <c r="C10" s="1244"/>
      <c r="D10" s="195"/>
      <c r="E10" s="196"/>
      <c r="F10" s="197" t="s">
        <v>466</v>
      </c>
      <c r="G10" s="190" t="s">
        <v>286</v>
      </c>
      <c r="H10" s="191">
        <v>0.15</v>
      </c>
      <c r="I10" s="198" t="s">
        <v>287</v>
      </c>
      <c r="J10" s="199"/>
    </row>
    <row r="11" spans="1:12" ht="20.25">
      <c r="A11" s="1236"/>
      <c r="B11" s="1245"/>
      <c r="C11" s="1246"/>
      <c r="D11" s="195"/>
      <c r="E11" s="196"/>
      <c r="F11" s="197" t="s">
        <v>467</v>
      </c>
      <c r="G11" s="190" t="s">
        <v>288</v>
      </c>
      <c r="H11" s="191">
        <v>0.09</v>
      </c>
      <c r="I11" s="198" t="s">
        <v>289</v>
      </c>
      <c r="J11" s="199"/>
    </row>
    <row r="12" spans="1:12" ht="75">
      <c r="A12" s="1236"/>
      <c r="B12" s="202" t="s">
        <v>46</v>
      </c>
      <c r="C12" s="203">
        <f>E8*(H6*J6+H7*J7+H8*J8+H9*J9+H10*J10+H11*J11+H12*J12)</f>
        <v>0</v>
      </c>
      <c r="D12" s="195"/>
      <c r="E12" s="196"/>
      <c r="F12" s="197" t="s">
        <v>290</v>
      </c>
      <c r="G12" s="190" t="s">
        <v>291</v>
      </c>
      <c r="H12" s="191">
        <v>0.09</v>
      </c>
      <c r="I12" s="198" t="s">
        <v>292</v>
      </c>
      <c r="J12" s="199"/>
    </row>
    <row r="13" spans="1:12" s="208" customFormat="1" ht="195.75" customHeight="1">
      <c r="A13" s="1247" t="s">
        <v>459</v>
      </c>
      <c r="B13" s="1248" t="s">
        <v>1074</v>
      </c>
      <c r="C13" s="1249"/>
      <c r="D13" s="204" t="s">
        <v>293</v>
      </c>
      <c r="E13" s="205">
        <v>0.28000000000000003</v>
      </c>
      <c r="F13" s="206" t="s">
        <v>294</v>
      </c>
      <c r="G13" s="190" t="s">
        <v>295</v>
      </c>
      <c r="H13" s="191">
        <v>0.37</v>
      </c>
      <c r="I13" s="192" t="s">
        <v>296</v>
      </c>
      <c r="J13" s="207"/>
    </row>
    <row r="14" spans="1:12" s="213" customFormat="1" ht="60.75" customHeight="1">
      <c r="A14" s="1247"/>
      <c r="B14" s="209"/>
      <c r="C14" s="210"/>
      <c r="D14" s="211"/>
      <c r="E14" s="212"/>
      <c r="F14" s="189" t="s">
        <v>561</v>
      </c>
      <c r="G14" s="190" t="s">
        <v>297</v>
      </c>
      <c r="H14" s="191">
        <v>0.18</v>
      </c>
      <c r="I14" s="192" t="s">
        <v>298</v>
      </c>
      <c r="J14" s="207"/>
    </row>
    <row r="15" spans="1:12" s="213" customFormat="1" ht="75">
      <c r="A15" s="1247"/>
      <c r="B15" s="209"/>
      <c r="C15" s="210"/>
      <c r="D15" s="209"/>
      <c r="E15" s="210"/>
      <c r="F15" s="189" t="s">
        <v>84</v>
      </c>
      <c r="G15" s="190" t="s">
        <v>299</v>
      </c>
      <c r="H15" s="191">
        <v>0.27</v>
      </c>
      <c r="I15" s="192" t="s">
        <v>300</v>
      </c>
      <c r="J15" s="207"/>
    </row>
    <row r="16" spans="1:12" s="213" customFormat="1" ht="37.5">
      <c r="A16" s="1247"/>
      <c r="B16" s="214" t="s">
        <v>47</v>
      </c>
      <c r="C16" s="203">
        <f>E13*(H13*J13+H14*J14+H15*J15+H16*J16)</f>
        <v>0</v>
      </c>
      <c r="D16" s="215"/>
      <c r="E16" s="216"/>
      <c r="F16" s="197" t="s">
        <v>85</v>
      </c>
      <c r="G16" s="190" t="s">
        <v>301</v>
      </c>
      <c r="H16" s="191">
        <v>0.18</v>
      </c>
      <c r="I16" s="192" t="s">
        <v>302</v>
      </c>
      <c r="J16" s="207"/>
    </row>
    <row r="17" spans="1:11" s="213" customFormat="1" ht="75">
      <c r="A17" s="1235" t="s">
        <v>470</v>
      </c>
      <c r="B17" s="1237" t="s">
        <v>303</v>
      </c>
      <c r="C17" s="1238"/>
      <c r="D17" s="217"/>
      <c r="E17" s="218"/>
      <c r="F17" s="219" t="s">
        <v>562</v>
      </c>
      <c r="G17" s="192" t="s">
        <v>304</v>
      </c>
      <c r="H17" s="191">
        <v>0.15</v>
      </c>
      <c r="I17" s="192" t="s">
        <v>305</v>
      </c>
      <c r="J17" s="191"/>
    </row>
    <row r="18" spans="1:11" s="213" customFormat="1" ht="80.25" customHeight="1">
      <c r="A18" s="1236"/>
      <c r="B18" s="1239"/>
      <c r="C18" s="1240"/>
      <c r="D18" s="209"/>
      <c r="E18" s="210"/>
      <c r="F18" s="189" t="s">
        <v>306</v>
      </c>
      <c r="G18" s="192" t="s">
        <v>307</v>
      </c>
      <c r="H18" s="191">
        <v>0.15</v>
      </c>
      <c r="I18" s="192" t="s">
        <v>308</v>
      </c>
      <c r="J18" s="191"/>
    </row>
    <row r="19" spans="1:11" s="213" customFormat="1" ht="42" customHeight="1">
      <c r="A19" s="1236"/>
      <c r="B19" s="1241" t="s">
        <v>565</v>
      </c>
      <c r="C19" s="1242"/>
      <c r="D19" s="220" t="s">
        <v>309</v>
      </c>
      <c r="E19" s="221">
        <v>0.44</v>
      </c>
      <c r="F19" s="219" t="s">
        <v>310</v>
      </c>
      <c r="G19" s="192" t="s">
        <v>311</v>
      </c>
      <c r="H19" s="191">
        <v>0.1</v>
      </c>
      <c r="I19" s="192" t="s">
        <v>312</v>
      </c>
      <c r="J19" s="191"/>
    </row>
    <row r="20" spans="1:11" s="213" customFormat="1" ht="75" customHeight="1">
      <c r="A20" s="1236"/>
      <c r="B20" s="1241"/>
      <c r="C20" s="1242"/>
      <c r="D20" s="222"/>
      <c r="E20" s="223"/>
      <c r="F20" s="197" t="s">
        <v>313</v>
      </c>
      <c r="G20" s="192" t="s">
        <v>314</v>
      </c>
      <c r="H20" s="191">
        <v>0.08</v>
      </c>
      <c r="I20" s="192" t="s">
        <v>315</v>
      </c>
      <c r="J20" s="191"/>
    </row>
    <row r="21" spans="1:11" s="213" customFormat="1" ht="39" customHeight="1">
      <c r="A21" s="1236"/>
      <c r="B21" s="1241"/>
      <c r="C21" s="1242"/>
      <c r="D21" s="224"/>
      <c r="E21" s="223"/>
      <c r="F21" s="189" t="s">
        <v>563</v>
      </c>
      <c r="G21" s="192" t="s">
        <v>316</v>
      </c>
      <c r="H21" s="191">
        <v>0.06</v>
      </c>
      <c r="I21" s="192" t="s">
        <v>317</v>
      </c>
      <c r="J21" s="191"/>
    </row>
    <row r="22" spans="1:11" s="213" customFormat="1" ht="39" customHeight="1">
      <c r="A22" s="1236"/>
      <c r="B22" s="1241"/>
      <c r="C22" s="1242"/>
      <c r="D22" s="209"/>
      <c r="E22" s="210"/>
      <c r="F22" s="225" t="s">
        <v>318</v>
      </c>
      <c r="G22" s="192" t="s">
        <v>319</v>
      </c>
      <c r="H22" s="191">
        <v>0.08</v>
      </c>
      <c r="I22" s="192" t="s">
        <v>320</v>
      </c>
      <c r="J22" s="191"/>
    </row>
    <row r="23" spans="1:11" s="213" customFormat="1" ht="42" customHeight="1">
      <c r="A23" s="194"/>
      <c r="B23" s="226"/>
      <c r="C23" s="227"/>
      <c r="D23" s="209"/>
      <c r="E23" s="228"/>
      <c r="F23" s="189" t="s">
        <v>321</v>
      </c>
      <c r="G23" s="192" t="s">
        <v>322</v>
      </c>
      <c r="H23" s="191">
        <v>0.1</v>
      </c>
      <c r="I23" s="192" t="s">
        <v>323</v>
      </c>
      <c r="J23" s="191"/>
    </row>
    <row r="24" spans="1:11" s="213" customFormat="1" ht="97.5" customHeight="1">
      <c r="A24" s="194"/>
      <c r="B24" s="226"/>
      <c r="C24" s="229"/>
      <c r="D24" s="228"/>
      <c r="E24" s="228"/>
      <c r="F24" s="189" t="s">
        <v>324</v>
      </c>
      <c r="G24" s="192" t="s">
        <v>325</v>
      </c>
      <c r="H24" s="191">
        <v>0.1</v>
      </c>
      <c r="I24" s="192" t="s">
        <v>326</v>
      </c>
      <c r="J24" s="191"/>
    </row>
    <row r="25" spans="1:11" s="213" customFormat="1" ht="59.25" customHeight="1">
      <c r="A25" s="194"/>
      <c r="B25" s="226"/>
      <c r="C25" s="229"/>
      <c r="D25" s="228"/>
      <c r="E25" s="228"/>
      <c r="F25" s="189" t="s">
        <v>327</v>
      </c>
      <c r="G25" s="192" t="s">
        <v>328</v>
      </c>
      <c r="H25" s="191">
        <v>0.08</v>
      </c>
      <c r="I25" s="192" t="s">
        <v>329</v>
      </c>
      <c r="J25" s="191"/>
    </row>
    <row r="26" spans="1:11" s="213" customFormat="1" ht="213.75" customHeight="1">
      <c r="A26" s="230"/>
      <c r="B26" s="214" t="s">
        <v>48</v>
      </c>
      <c r="C26" s="203">
        <f>E19*(H17*J17+H18*J18+H19*J19+H20*J20+H21*J21+H22*J22)</f>
        <v>0</v>
      </c>
      <c r="D26" s="215"/>
      <c r="E26" s="231"/>
      <c r="F26" s="189" t="s">
        <v>330</v>
      </c>
      <c r="G26" s="192" t="s">
        <v>331</v>
      </c>
      <c r="H26" s="191">
        <v>0.1</v>
      </c>
      <c r="I26" s="192" t="s">
        <v>332</v>
      </c>
      <c r="J26" s="191"/>
    </row>
    <row r="27" spans="1:11" s="213" customFormat="1" ht="11.25" customHeight="1">
      <c r="A27" s="232"/>
      <c r="B27" s="226"/>
      <c r="C27" s="227"/>
      <c r="D27" s="228"/>
      <c r="E27" s="228"/>
      <c r="F27" s="233"/>
      <c r="G27" s="226"/>
      <c r="H27" s="234"/>
      <c r="I27" s="226"/>
      <c r="J27" s="234"/>
    </row>
    <row r="28" spans="1:11" ht="19.5" customHeight="1">
      <c r="A28" s="235"/>
      <c r="B28" s="236" t="s">
        <v>769</v>
      </c>
      <c r="C28" s="237">
        <f>SUM(C12,C16,C26)</f>
        <v>0</v>
      </c>
    </row>
    <row r="29" spans="1:11" s="54" customFormat="1" ht="19.5" customHeight="1">
      <c r="A29" s="170"/>
      <c r="B29" s="171"/>
      <c r="C29" s="172" t="s">
        <v>444</v>
      </c>
      <c r="D29" s="171"/>
      <c r="E29" s="172"/>
      <c r="F29" s="172" t="str">
        <f>IF(C28&lt;=0.5,"низький",IF(C28&lt;=0.75,"середній",(IF(C28&lt;=0.95,"достатній",(IF(C28&lt;=1,"високий"))))))</f>
        <v>низький</v>
      </c>
      <c r="G29" s="171"/>
      <c r="H29" s="171"/>
      <c r="I29" s="171"/>
      <c r="J29" s="171"/>
      <c r="K29" s="171"/>
    </row>
    <row r="30" spans="1:11" s="54" customFormat="1" ht="15.75"/>
    <row r="31" spans="1:11" s="302" customFormat="1" ht="15.75">
      <c r="A31" s="288" t="s">
        <v>182</v>
      </c>
      <c r="B31" s="289"/>
      <c r="C31" s="342"/>
      <c r="E31" s="343"/>
      <c r="F31" s="344"/>
      <c r="G31" s="112"/>
    </row>
    <row r="32" spans="1:11" s="302" customFormat="1" ht="17.25">
      <c r="A32" s="345" t="s">
        <v>589</v>
      </c>
      <c r="B32" s="346"/>
      <c r="C32" s="347"/>
      <c r="D32" s="303"/>
      <c r="E32" s="348"/>
      <c r="F32" s="349"/>
      <c r="G32" s="112"/>
    </row>
    <row r="33" spans="1:7" s="302" customFormat="1" ht="17.25">
      <c r="A33" s="345" t="s">
        <v>590</v>
      </c>
      <c r="B33" s="346"/>
      <c r="C33" s="347"/>
      <c r="D33" s="303"/>
      <c r="E33" s="348"/>
      <c r="F33" s="349"/>
      <c r="G33" s="112"/>
    </row>
    <row r="34" spans="1:7" s="302" customFormat="1" ht="17.25">
      <c r="A34" s="345" t="s">
        <v>591</v>
      </c>
      <c r="B34" s="346"/>
      <c r="C34" s="347"/>
      <c r="D34" s="303"/>
      <c r="E34" s="348"/>
      <c r="F34" s="349"/>
      <c r="G34" s="112"/>
    </row>
    <row r="35" spans="1:7" s="302" customFormat="1" ht="17.25">
      <c r="A35" s="345" t="s">
        <v>592</v>
      </c>
      <c r="B35" s="346"/>
      <c r="C35" s="347"/>
      <c r="D35" s="303"/>
      <c r="E35" s="348"/>
      <c r="F35" s="349"/>
      <c r="G35" s="112"/>
    </row>
    <row r="36" spans="1:7" s="302" customFormat="1" ht="17.25">
      <c r="A36" s="345" t="s">
        <v>593</v>
      </c>
      <c r="B36" s="346"/>
      <c r="C36" s="347"/>
      <c r="D36" s="303"/>
      <c r="E36" s="348"/>
      <c r="F36" s="349"/>
      <c r="G36" s="112"/>
    </row>
    <row r="37" spans="1:7" s="302" customFormat="1" ht="17.25">
      <c r="A37" s="345" t="s">
        <v>594</v>
      </c>
      <c r="B37" s="346"/>
      <c r="C37" s="347"/>
      <c r="D37" s="303"/>
      <c r="E37" s="348"/>
      <c r="F37" s="349"/>
      <c r="G37" s="112"/>
    </row>
    <row r="38" spans="1:7" s="302" customFormat="1" ht="17.25">
      <c r="A38" s="345" t="s">
        <v>595</v>
      </c>
      <c r="B38" s="346"/>
      <c r="C38" s="347"/>
      <c r="D38" s="303"/>
      <c r="E38" s="348"/>
      <c r="F38" s="349"/>
      <c r="G38" s="112"/>
    </row>
    <row r="39" spans="1:7" s="302" customFormat="1" ht="15.75">
      <c r="A39" s="350" t="s">
        <v>596</v>
      </c>
      <c r="B39" s="346"/>
      <c r="C39" s="347"/>
      <c r="D39" s="303"/>
      <c r="E39" s="348"/>
      <c r="F39" s="349"/>
      <c r="G39" s="112"/>
    </row>
    <row r="40" spans="1:7" s="302" customFormat="1" ht="15.75">
      <c r="A40" s="345" t="s">
        <v>597</v>
      </c>
      <c r="B40" s="346"/>
      <c r="C40" s="347"/>
      <c r="D40" s="303"/>
      <c r="E40" s="348"/>
      <c r="F40" s="349"/>
      <c r="G40" s="112"/>
    </row>
    <row r="41" spans="1:7" s="302" customFormat="1" ht="15.75">
      <c r="A41" s="288" t="s">
        <v>792</v>
      </c>
      <c r="B41" s="346"/>
      <c r="C41" s="347"/>
      <c r="D41" s="303"/>
      <c r="E41" s="348"/>
      <c r="F41" s="349"/>
      <c r="G41" s="112"/>
    </row>
    <row r="42" spans="1:7" s="302" customFormat="1" ht="15.75">
      <c r="A42" s="288" t="s">
        <v>793</v>
      </c>
      <c r="B42" s="346"/>
      <c r="C42" s="347"/>
      <c r="D42" s="303"/>
      <c r="E42" s="348"/>
      <c r="F42" s="349"/>
      <c r="G42" s="112"/>
    </row>
    <row r="43" spans="1:7" s="302" customFormat="1" ht="15.75">
      <c r="A43" s="288" t="s">
        <v>794</v>
      </c>
      <c r="B43" s="346"/>
      <c r="C43" s="347"/>
      <c r="D43" s="303"/>
      <c r="E43" s="348"/>
      <c r="F43" s="349"/>
      <c r="G43" s="112"/>
    </row>
    <row r="44" spans="1:7" s="302" customFormat="1" ht="15.75">
      <c r="A44" s="342"/>
      <c r="B44" s="342" t="s">
        <v>20</v>
      </c>
      <c r="C44" s="342"/>
      <c r="D44" s="342"/>
      <c r="E44" s="342"/>
      <c r="F44" s="342"/>
      <c r="G44" s="342"/>
    </row>
    <row r="45" spans="1:7" s="302" customFormat="1" ht="15.75">
      <c r="A45" s="351"/>
      <c r="B45" s="351"/>
      <c r="C45" s="351"/>
      <c r="D45" s="351"/>
      <c r="E45" s="351"/>
      <c r="F45" s="351"/>
      <c r="G45" s="351"/>
    </row>
    <row r="46" spans="1:7" s="302" customFormat="1" ht="15.75">
      <c r="A46" s="351"/>
      <c r="B46" s="351"/>
      <c r="C46" s="351"/>
      <c r="D46" s="351"/>
      <c r="E46" s="351"/>
      <c r="F46" s="351"/>
      <c r="G46" s="351"/>
    </row>
    <row r="47" spans="1:7" s="302" customFormat="1" ht="15.75">
      <c r="A47" s="351"/>
      <c r="B47" s="351"/>
      <c r="C47" s="351"/>
      <c r="D47" s="351"/>
      <c r="E47" s="351"/>
      <c r="F47" s="351"/>
      <c r="G47" s="351"/>
    </row>
    <row r="48" spans="1:7" s="302" customFormat="1" ht="15.75">
      <c r="A48" s="351"/>
      <c r="B48" s="351"/>
      <c r="C48" s="351"/>
      <c r="D48" s="351"/>
      <c r="E48" s="351"/>
      <c r="F48" s="351"/>
      <c r="G48" s="351"/>
    </row>
    <row r="49" spans="1:7" s="302" customFormat="1" ht="15.75">
      <c r="A49" s="351"/>
      <c r="B49" s="351"/>
      <c r="C49" s="351"/>
      <c r="D49" s="351"/>
      <c r="E49" s="351"/>
      <c r="F49" s="351"/>
      <c r="G49" s="351"/>
    </row>
    <row r="50" spans="1:7" s="302" customFormat="1" ht="15.75">
      <c r="A50" s="351"/>
      <c r="B50" s="351"/>
      <c r="C50" s="351"/>
      <c r="D50" s="351"/>
      <c r="E50" s="351"/>
      <c r="F50" s="351"/>
      <c r="G50" s="351"/>
    </row>
    <row r="51" spans="1:7" s="302" customFormat="1" ht="15.75">
      <c r="A51" s="351"/>
      <c r="B51" s="351"/>
      <c r="C51" s="351"/>
      <c r="D51" s="351"/>
      <c r="E51" s="351"/>
      <c r="F51" s="351"/>
      <c r="G51" s="351"/>
    </row>
    <row r="52" spans="1:7" s="302" customFormat="1" ht="15.75">
      <c r="A52" s="351"/>
      <c r="B52" s="351"/>
      <c r="C52" s="351"/>
      <c r="D52" s="351"/>
      <c r="E52" s="351"/>
      <c r="F52" s="351"/>
      <c r="G52" s="351"/>
    </row>
    <row r="53" spans="1:7" s="302" customFormat="1" ht="15.75">
      <c r="A53" s="351"/>
      <c r="B53" s="351"/>
      <c r="C53" s="351"/>
      <c r="D53" s="351"/>
      <c r="E53" s="351"/>
      <c r="F53" s="351"/>
      <c r="G53" s="351"/>
    </row>
    <row r="54" spans="1:7" s="302" customFormat="1" ht="15.75">
      <c r="A54" s="351"/>
      <c r="B54" s="351"/>
      <c r="C54" s="351"/>
      <c r="D54" s="351"/>
      <c r="E54" s="351"/>
      <c r="F54" s="351"/>
      <c r="G54" s="351"/>
    </row>
    <row r="55" spans="1:7" s="302" customFormat="1" ht="15.75">
      <c r="A55" s="351"/>
      <c r="B55" s="351"/>
      <c r="C55" s="351"/>
      <c r="D55" s="351"/>
      <c r="E55" s="351"/>
      <c r="F55" s="351"/>
      <c r="G55" s="351"/>
    </row>
    <row r="56" spans="1:7" s="302" customFormat="1" ht="15.75">
      <c r="A56" s="351"/>
      <c r="B56" s="351"/>
      <c r="C56" s="351"/>
      <c r="D56" s="351"/>
      <c r="E56" s="351"/>
      <c r="F56" s="351"/>
      <c r="G56" s="351"/>
    </row>
    <row r="57" spans="1:7" s="302" customFormat="1" ht="15.75">
      <c r="A57" s="351"/>
      <c r="B57" s="351"/>
      <c r="C57" s="351"/>
      <c r="D57" s="351"/>
      <c r="E57" s="351"/>
      <c r="F57" s="351"/>
      <c r="G57" s="351"/>
    </row>
    <row r="58" spans="1:7" s="302" customFormat="1" ht="15.75">
      <c r="A58" s="351"/>
      <c r="B58" s="351"/>
      <c r="C58" s="351"/>
      <c r="D58" s="351"/>
      <c r="E58" s="351"/>
      <c r="F58" s="351"/>
      <c r="G58" s="351"/>
    </row>
    <row r="59" spans="1:7" s="302" customFormat="1" ht="15.75">
      <c r="A59" s="342"/>
      <c r="B59" s="352" t="s">
        <v>2418</v>
      </c>
      <c r="C59" s="352"/>
      <c r="D59" s="352"/>
      <c r="E59" s="352"/>
      <c r="F59" s="352"/>
      <c r="G59" s="352"/>
    </row>
    <row r="60" spans="1:7" s="302" customFormat="1" ht="15.75">
      <c r="A60" s="342"/>
      <c r="B60" s="353"/>
      <c r="C60" s="353"/>
      <c r="D60" s="353"/>
      <c r="E60" s="353"/>
      <c r="F60" s="353"/>
      <c r="G60" s="353"/>
    </row>
    <row r="61" spans="1:7" s="302" customFormat="1" ht="15.75">
      <c r="A61" s="342"/>
      <c r="B61" s="352" t="s">
        <v>22</v>
      </c>
      <c r="C61" s="352"/>
      <c r="D61" s="352"/>
      <c r="E61" s="352"/>
      <c r="F61" s="352"/>
      <c r="G61" s="352"/>
    </row>
    <row r="62" spans="1:7" s="302" customFormat="1" ht="15.75">
      <c r="A62" s="342"/>
      <c r="B62" s="353"/>
      <c r="C62" s="353"/>
      <c r="D62" s="353"/>
      <c r="E62" s="353"/>
      <c r="F62" s="353"/>
      <c r="G62" s="353"/>
    </row>
    <row r="63" spans="1:7" s="302" customFormat="1" ht="15.75">
      <c r="A63" s="342"/>
      <c r="B63" s="352" t="s">
        <v>23</v>
      </c>
      <c r="C63" s="352"/>
      <c r="D63" s="352"/>
      <c r="E63" s="352"/>
      <c r="F63" s="352"/>
      <c r="G63" s="352"/>
    </row>
    <row r="64" spans="1:7" s="302" customFormat="1" ht="15.75">
      <c r="A64" s="342"/>
      <c r="B64" s="352" t="s">
        <v>24</v>
      </c>
      <c r="C64" s="352"/>
      <c r="D64" s="352"/>
      <c r="E64" s="352"/>
      <c r="F64" s="352"/>
      <c r="G64" s="352"/>
    </row>
    <row r="65" spans="1:5" s="303" customFormat="1" ht="15.75">
      <c r="A65" s="346"/>
      <c r="B65" s="346"/>
      <c r="E65" s="333"/>
    </row>
    <row r="66" spans="1:5" s="101" customFormat="1" ht="15.75">
      <c r="A66" s="290"/>
      <c r="B66" s="289"/>
      <c r="C66" s="63"/>
      <c r="E66" s="63"/>
    </row>
    <row r="67" spans="1:5" s="101" customFormat="1" ht="15.75">
      <c r="A67" s="290"/>
      <c r="B67" s="289"/>
      <c r="C67" s="63"/>
      <c r="E67" s="63"/>
    </row>
    <row r="68" spans="1:5" s="101" customFormat="1" ht="15.75">
      <c r="A68" s="290"/>
      <c r="B68" s="289"/>
      <c r="C68" s="63"/>
      <c r="E68" s="63"/>
    </row>
    <row r="69" spans="1:5" s="54" customFormat="1" ht="15.75"/>
    <row r="70" spans="1:5" s="54" customFormat="1" ht="15.75"/>
    <row r="71" spans="1:5" s="54" customFormat="1" ht="15.75"/>
  </sheetData>
  <mergeCells count="16">
    <mergeCell ref="A17:A22"/>
    <mergeCell ref="B17:C18"/>
    <mergeCell ref="B19:C22"/>
    <mergeCell ref="A6:A12"/>
    <mergeCell ref="B6:C6"/>
    <mergeCell ref="B7:C10"/>
    <mergeCell ref="B11:C11"/>
    <mergeCell ref="A13:A16"/>
    <mergeCell ref="B13:C13"/>
    <mergeCell ref="A1:J1"/>
    <mergeCell ref="A2:J2"/>
    <mergeCell ref="A3:J3"/>
    <mergeCell ref="B5:C5"/>
    <mergeCell ref="D5:E5"/>
    <mergeCell ref="G5:H5"/>
    <mergeCell ref="I5:J5"/>
  </mergeCells>
  <phoneticPr fontId="4" type="noConversion"/>
  <pageMargins left="0.7" right="0.7" top="0.75" bottom="0.75" header="0.3" footer="0.3"/>
  <pageSetup paperSize="9" scale="75" orientation="portrait" r:id="rId1"/>
</worksheet>
</file>

<file path=xl/worksheets/sheet17.xml><?xml version="1.0" encoding="utf-8"?>
<worksheet xmlns="http://schemas.openxmlformats.org/spreadsheetml/2006/main" xmlns:r="http://schemas.openxmlformats.org/officeDocument/2006/relationships">
  <dimension ref="A1:G50"/>
  <sheetViews>
    <sheetView workbookViewId="0">
      <selection activeCell="G12" sqref="G12"/>
    </sheetView>
  </sheetViews>
  <sheetFormatPr defaultRowHeight="15.75"/>
  <cols>
    <col min="1" max="1" width="7" style="81" bestFit="1" customWidth="1"/>
    <col min="2" max="2" width="20.85546875" style="115" customWidth="1"/>
    <col min="3" max="3" width="13.28515625" style="63" customWidth="1"/>
    <col min="4" max="4" width="48.28515625" style="25" customWidth="1"/>
    <col min="5" max="5" width="16.42578125" style="63" customWidth="1"/>
    <col min="6" max="6" width="17.7109375" style="63" customWidth="1"/>
    <col min="7" max="7" width="13.5703125" style="63" bestFit="1" customWidth="1"/>
    <col min="8" max="16384" width="9.140625" style="101"/>
  </cols>
  <sheetData>
    <row r="1" spans="1:7" ht="15.75" customHeight="1">
      <c r="A1" s="1132" t="s">
        <v>446</v>
      </c>
      <c r="B1" s="1132"/>
      <c r="C1" s="1132"/>
      <c r="D1" s="1132"/>
      <c r="E1" s="1132"/>
      <c r="F1" s="1132"/>
      <c r="G1" s="1132"/>
    </row>
    <row r="2" spans="1:7" ht="50.25" customHeight="1">
      <c r="A2" s="1131" t="s">
        <v>1596</v>
      </c>
      <c r="B2" s="1132"/>
      <c r="C2" s="1132"/>
      <c r="D2" s="1132"/>
      <c r="E2" s="1132"/>
      <c r="F2" s="1132"/>
      <c r="G2" s="1132"/>
    </row>
    <row r="4" spans="1:7" ht="63">
      <c r="A4" s="5" t="s">
        <v>434</v>
      </c>
      <c r="B4" s="5" t="s">
        <v>338</v>
      </c>
      <c r="C4" s="287" t="s">
        <v>771</v>
      </c>
      <c r="D4" s="287" t="s">
        <v>333</v>
      </c>
      <c r="E4" s="287" t="s">
        <v>337</v>
      </c>
      <c r="F4" s="287" t="s">
        <v>770</v>
      </c>
      <c r="G4" s="287" t="s">
        <v>82</v>
      </c>
    </row>
    <row r="5" spans="1:7" ht="110.25">
      <c r="A5" s="84">
        <v>1</v>
      </c>
      <c r="B5" s="292" t="s">
        <v>1597</v>
      </c>
      <c r="C5" s="100"/>
      <c r="D5" s="695" t="s">
        <v>235</v>
      </c>
      <c r="E5" s="696">
        <v>0.05</v>
      </c>
      <c r="F5" s="620"/>
      <c r="G5" s="100">
        <f t="shared" ref="G5:G10" si="0">SUM(F5)*E5</f>
        <v>0</v>
      </c>
    </row>
    <row r="6" spans="1:7" ht="63">
      <c r="A6" s="84"/>
      <c r="B6" s="167"/>
      <c r="C6" s="100"/>
      <c r="D6" s="695" t="s">
        <v>1598</v>
      </c>
      <c r="E6" s="696">
        <v>0.16</v>
      </c>
      <c r="F6" s="620"/>
      <c r="G6" s="100">
        <f t="shared" si="0"/>
        <v>0</v>
      </c>
    </row>
    <row r="7" spans="1:7" ht="31.5">
      <c r="A7" s="84"/>
      <c r="B7" s="167"/>
      <c r="C7" s="100"/>
      <c r="D7" s="695" t="s">
        <v>1599</v>
      </c>
      <c r="E7" s="696">
        <v>0.28999999999999998</v>
      </c>
      <c r="F7" s="620"/>
      <c r="G7" s="100">
        <f t="shared" si="0"/>
        <v>0</v>
      </c>
    </row>
    <row r="8" spans="1:7" ht="31.5">
      <c r="A8" s="84"/>
      <c r="B8" s="167"/>
      <c r="C8" s="100"/>
      <c r="D8" s="695" t="s">
        <v>236</v>
      </c>
      <c r="E8" s="696">
        <v>0.24</v>
      </c>
      <c r="F8" s="620"/>
      <c r="G8" s="100">
        <f t="shared" si="0"/>
        <v>0</v>
      </c>
    </row>
    <row r="9" spans="1:7" ht="47.25">
      <c r="A9" s="84"/>
      <c r="B9" s="167"/>
      <c r="C9" s="100"/>
      <c r="D9" s="695" t="s">
        <v>1600</v>
      </c>
      <c r="E9" s="696">
        <v>0.1</v>
      </c>
      <c r="F9" s="620"/>
      <c r="G9" s="100">
        <f t="shared" si="0"/>
        <v>0</v>
      </c>
    </row>
    <row r="10" spans="1:7" ht="47.25">
      <c r="A10" s="84"/>
      <c r="B10" s="167"/>
      <c r="C10" s="100"/>
      <c r="D10" s="695" t="s">
        <v>1601</v>
      </c>
      <c r="E10" s="696">
        <v>0.16</v>
      </c>
      <c r="F10" s="620"/>
      <c r="G10" s="100">
        <f t="shared" si="0"/>
        <v>0</v>
      </c>
    </row>
    <row r="11" spans="1:7">
      <c r="A11" s="41"/>
      <c r="B11" s="28" t="s">
        <v>848</v>
      </c>
      <c r="C11" s="30">
        <v>1</v>
      </c>
      <c r="D11" s="622"/>
      <c r="E11" s="30">
        <f>SUM(E5:E10)</f>
        <v>1</v>
      </c>
      <c r="F11" s="30" t="s">
        <v>49</v>
      </c>
      <c r="G11" s="30">
        <f>SUM(G5:G10)*C11</f>
        <v>0</v>
      </c>
    </row>
    <row r="12" spans="1:7" ht="14.25" customHeight="1">
      <c r="A12" s="12"/>
      <c r="B12" s="26" t="s">
        <v>444</v>
      </c>
      <c r="C12" s="10"/>
      <c r="D12" s="10"/>
      <c r="E12" s="11"/>
      <c r="F12" s="3"/>
      <c r="G12" s="21" t="str">
        <f>IF(G11&lt;=0.5,"низький",IF(G11&lt;=0.75,"середній",(IF(G11&lt;=0.95,"достатній",(IF(G11&lt;=1,"високий"))))))</f>
        <v>низький</v>
      </c>
    </row>
    <row r="13" spans="1:7" s="302" customFormat="1">
      <c r="A13" s="288" t="s">
        <v>182</v>
      </c>
      <c r="B13" s="289"/>
      <c r="C13" s="342"/>
      <c r="E13" s="343"/>
      <c r="F13" s="344"/>
      <c r="G13" s="112"/>
    </row>
    <row r="14" spans="1:7" s="302" customFormat="1" ht="17.25">
      <c r="A14" s="345" t="s">
        <v>589</v>
      </c>
      <c r="B14" s="346"/>
      <c r="C14" s="347"/>
      <c r="D14" s="303"/>
      <c r="E14" s="348"/>
      <c r="F14" s="349"/>
      <c r="G14" s="112"/>
    </row>
    <row r="15" spans="1:7" s="302" customFormat="1" ht="17.25">
      <c r="A15" s="345" t="s">
        <v>590</v>
      </c>
      <c r="B15" s="346"/>
      <c r="C15" s="347"/>
      <c r="D15" s="303"/>
      <c r="E15" s="348"/>
      <c r="F15" s="349"/>
      <c r="G15" s="112"/>
    </row>
    <row r="16" spans="1:7" s="302" customFormat="1" ht="17.25">
      <c r="A16" s="345" t="s">
        <v>591</v>
      </c>
      <c r="B16" s="346"/>
      <c r="C16" s="347"/>
      <c r="D16" s="303"/>
      <c r="E16" s="348"/>
      <c r="F16" s="349"/>
      <c r="G16" s="112"/>
    </row>
    <row r="17" spans="1:7" s="302" customFormat="1" ht="17.25">
      <c r="A17" s="345" t="s">
        <v>592</v>
      </c>
      <c r="B17" s="346"/>
      <c r="C17" s="347"/>
      <c r="D17" s="303"/>
      <c r="E17" s="348"/>
      <c r="F17" s="349"/>
      <c r="G17" s="112"/>
    </row>
    <row r="18" spans="1:7" s="302" customFormat="1" ht="17.25">
      <c r="A18" s="345" t="s">
        <v>593</v>
      </c>
      <c r="B18" s="346"/>
      <c r="C18" s="347"/>
      <c r="D18" s="303"/>
      <c r="E18" s="348"/>
      <c r="F18" s="349"/>
      <c r="G18" s="112"/>
    </row>
    <row r="19" spans="1:7" s="302" customFormat="1" ht="17.25">
      <c r="A19" s="345" t="s">
        <v>594</v>
      </c>
      <c r="B19" s="346"/>
      <c r="C19" s="347"/>
      <c r="D19" s="303"/>
      <c r="E19" s="348"/>
      <c r="F19" s="349"/>
      <c r="G19" s="112"/>
    </row>
    <row r="20" spans="1:7" s="302" customFormat="1" ht="17.25">
      <c r="A20" s="345" t="s">
        <v>595</v>
      </c>
      <c r="B20" s="346"/>
      <c r="C20" s="347"/>
      <c r="D20" s="303"/>
      <c r="E20" s="348"/>
      <c r="F20" s="349"/>
      <c r="G20" s="112"/>
    </row>
    <row r="21" spans="1:7" s="302" customFormat="1">
      <c r="A21" s="350" t="s">
        <v>596</v>
      </c>
      <c r="B21" s="346"/>
      <c r="C21" s="347"/>
      <c r="D21" s="303"/>
      <c r="E21" s="348"/>
      <c r="F21" s="349"/>
      <c r="G21" s="112"/>
    </row>
    <row r="22" spans="1:7" s="302" customFormat="1">
      <c r="A22" s="345" t="s">
        <v>597</v>
      </c>
      <c r="B22" s="346"/>
      <c r="C22" s="347"/>
      <c r="D22" s="303"/>
      <c r="E22" s="348"/>
      <c r="F22" s="349"/>
      <c r="G22" s="112"/>
    </row>
    <row r="23" spans="1:7" s="302" customFormat="1">
      <c r="A23" s="288" t="s">
        <v>792</v>
      </c>
      <c r="B23" s="346"/>
      <c r="C23" s="347"/>
      <c r="D23" s="303"/>
      <c r="E23" s="348"/>
      <c r="F23" s="349"/>
      <c r="G23" s="112"/>
    </row>
    <row r="24" spans="1:7" s="302" customFormat="1">
      <c r="A24" s="288" t="s">
        <v>793</v>
      </c>
      <c r="B24" s="346"/>
      <c r="C24" s="347"/>
      <c r="D24" s="303"/>
      <c r="E24" s="348"/>
      <c r="F24" s="349"/>
      <c r="G24" s="112"/>
    </row>
    <row r="25" spans="1:7" s="302" customFormat="1">
      <c r="A25" s="288" t="s">
        <v>794</v>
      </c>
      <c r="B25" s="346"/>
      <c r="C25" s="347"/>
      <c r="D25" s="303"/>
      <c r="E25" s="348"/>
      <c r="F25" s="349"/>
      <c r="G25" s="112"/>
    </row>
    <row r="26" spans="1:7" s="302" customFormat="1">
      <c r="A26" s="342"/>
      <c r="B26" s="342" t="s">
        <v>20</v>
      </c>
      <c r="C26" s="342"/>
      <c r="D26" s="342"/>
      <c r="E26" s="342"/>
      <c r="F26" s="344"/>
      <c r="G26" s="342"/>
    </row>
    <row r="27" spans="1:7" s="302" customFormat="1">
      <c r="A27" s="351"/>
      <c r="B27" s="351"/>
      <c r="C27" s="351"/>
      <c r="D27" s="351"/>
      <c r="E27" s="351"/>
      <c r="F27" s="654"/>
      <c r="G27" s="351"/>
    </row>
    <row r="28" spans="1:7" s="302" customFormat="1">
      <c r="A28" s="351"/>
      <c r="B28" s="351"/>
      <c r="C28" s="351"/>
      <c r="D28" s="351"/>
      <c r="E28" s="351"/>
      <c r="F28" s="654"/>
      <c r="G28" s="351"/>
    </row>
    <row r="29" spans="1:7" s="302" customFormat="1">
      <c r="A29" s="351"/>
      <c r="B29" s="351"/>
      <c r="C29" s="351"/>
      <c r="D29" s="351"/>
      <c r="E29" s="351"/>
      <c r="F29" s="654"/>
      <c r="G29" s="351"/>
    </row>
    <row r="30" spans="1:7" s="302" customFormat="1">
      <c r="A30" s="351"/>
      <c r="B30" s="351"/>
      <c r="C30" s="351"/>
      <c r="D30" s="351"/>
      <c r="E30" s="351"/>
      <c r="F30" s="654"/>
      <c r="G30" s="351"/>
    </row>
    <row r="31" spans="1:7" s="302" customFormat="1">
      <c r="A31" s="351"/>
      <c r="B31" s="351"/>
      <c r="C31" s="351"/>
      <c r="D31" s="351"/>
      <c r="E31" s="351"/>
      <c r="F31" s="654"/>
      <c r="G31" s="351"/>
    </row>
    <row r="32" spans="1:7" s="302" customFormat="1">
      <c r="A32" s="351"/>
      <c r="B32" s="351"/>
      <c r="C32" s="351"/>
      <c r="D32" s="351"/>
      <c r="E32" s="351"/>
      <c r="F32" s="654"/>
      <c r="G32" s="351"/>
    </row>
    <row r="33" spans="1:7" s="302" customFormat="1">
      <c r="A33" s="351"/>
      <c r="B33" s="351"/>
      <c r="C33" s="351"/>
      <c r="D33" s="351"/>
      <c r="E33" s="351"/>
      <c r="F33" s="654"/>
      <c r="G33" s="351"/>
    </row>
    <row r="34" spans="1:7" s="302" customFormat="1">
      <c r="A34" s="351"/>
      <c r="B34" s="351"/>
      <c r="C34" s="351"/>
      <c r="D34" s="351"/>
      <c r="E34" s="351"/>
      <c r="F34" s="654"/>
      <c r="G34" s="351"/>
    </row>
    <row r="35" spans="1:7" s="302" customFormat="1">
      <c r="A35" s="351"/>
      <c r="B35" s="351"/>
      <c r="C35" s="351"/>
      <c r="D35" s="351"/>
      <c r="E35" s="351"/>
      <c r="F35" s="654"/>
      <c r="G35" s="351"/>
    </row>
    <row r="36" spans="1:7" s="302" customFormat="1">
      <c r="A36" s="351"/>
      <c r="B36" s="351"/>
      <c r="C36" s="351"/>
      <c r="D36" s="351"/>
      <c r="E36" s="351"/>
      <c r="F36" s="654"/>
      <c r="G36" s="351"/>
    </row>
    <row r="37" spans="1:7" s="302" customFormat="1">
      <c r="A37" s="351"/>
      <c r="B37" s="351"/>
      <c r="C37" s="351"/>
      <c r="D37" s="351"/>
      <c r="E37" s="351"/>
      <c r="F37" s="654"/>
      <c r="G37" s="351"/>
    </row>
    <row r="38" spans="1:7" s="302" customFormat="1">
      <c r="A38" s="351"/>
      <c r="B38" s="351"/>
      <c r="C38" s="351"/>
      <c r="D38" s="351"/>
      <c r="E38" s="351"/>
      <c r="F38" s="654"/>
      <c r="G38" s="351"/>
    </row>
    <row r="39" spans="1:7" s="302" customFormat="1">
      <c r="A39" s="351"/>
      <c r="B39" s="351"/>
      <c r="C39" s="351"/>
      <c r="D39" s="351"/>
      <c r="E39" s="351"/>
      <c r="F39" s="654"/>
      <c r="G39" s="351"/>
    </row>
    <row r="40" spans="1:7" s="302" customFormat="1">
      <c r="A40" s="351"/>
      <c r="B40" s="351"/>
      <c r="C40" s="351"/>
      <c r="D40" s="351"/>
      <c r="E40" s="351"/>
      <c r="F40" s="654"/>
      <c r="G40" s="351"/>
    </row>
    <row r="41" spans="1:7" s="302" customFormat="1">
      <c r="A41" s="342"/>
      <c r="B41" s="352" t="s">
        <v>2418</v>
      </c>
      <c r="C41" s="352"/>
      <c r="D41" s="352"/>
      <c r="E41" s="352"/>
      <c r="F41" s="344"/>
      <c r="G41" s="352"/>
    </row>
    <row r="42" spans="1:7" s="302" customFormat="1">
      <c r="A42" s="342"/>
      <c r="B42" s="353"/>
      <c r="C42" s="353"/>
      <c r="D42" s="353"/>
      <c r="E42" s="353"/>
      <c r="F42" s="344"/>
      <c r="G42" s="353"/>
    </row>
    <row r="43" spans="1:7" s="302" customFormat="1">
      <c r="A43" s="342"/>
      <c r="B43" s="352" t="s">
        <v>22</v>
      </c>
      <c r="C43" s="352"/>
      <c r="D43" s="352"/>
      <c r="E43" s="352"/>
      <c r="F43" s="344"/>
      <c r="G43" s="352"/>
    </row>
    <row r="44" spans="1:7" s="302" customFormat="1">
      <c r="A44" s="342"/>
      <c r="B44" s="353"/>
      <c r="C44" s="353"/>
      <c r="D44" s="353"/>
      <c r="E44" s="353"/>
      <c r="F44" s="344"/>
      <c r="G44" s="353"/>
    </row>
    <row r="45" spans="1:7" s="302" customFormat="1">
      <c r="A45" s="342"/>
      <c r="B45" s="352" t="s">
        <v>23</v>
      </c>
      <c r="C45" s="352"/>
      <c r="D45" s="352"/>
      <c r="E45" s="352"/>
      <c r="F45" s="344"/>
      <c r="G45" s="352"/>
    </row>
    <row r="46" spans="1:7" s="302" customFormat="1">
      <c r="A46" s="342"/>
      <c r="B46" s="352" t="s">
        <v>24</v>
      </c>
      <c r="C46" s="352"/>
      <c r="D46" s="352"/>
      <c r="E46" s="352"/>
      <c r="F46" s="344"/>
      <c r="G46" s="352"/>
    </row>
    <row r="47" spans="1:7" s="303" customFormat="1">
      <c r="A47" s="346"/>
      <c r="B47" s="346"/>
      <c r="E47" s="333"/>
      <c r="F47" s="333"/>
    </row>
    <row r="48" spans="1:7">
      <c r="A48" s="290"/>
      <c r="B48" s="289"/>
      <c r="D48" s="101"/>
      <c r="G48" s="101"/>
    </row>
    <row r="49" spans="1:7">
      <c r="A49" s="290"/>
      <c r="B49" s="289"/>
      <c r="D49" s="101"/>
      <c r="G49" s="101"/>
    </row>
    <row r="50" spans="1:7">
      <c r="A50" s="290"/>
      <c r="B50" s="289"/>
      <c r="D50" s="101"/>
      <c r="G50" s="101"/>
    </row>
  </sheetData>
  <mergeCells count="2">
    <mergeCell ref="A1:G1"/>
    <mergeCell ref="A2:G2"/>
  </mergeCells>
  <phoneticPr fontId="4" type="noConversion"/>
  <pageMargins left="0.7" right="0.7" top="0.75" bottom="0.75" header="0.3" footer="0.3"/>
  <pageSetup paperSize="9" scale="60" orientation="portrait" r:id="rId1"/>
</worksheet>
</file>

<file path=xl/worksheets/sheet18.xml><?xml version="1.0" encoding="utf-8"?>
<worksheet xmlns="http://schemas.openxmlformats.org/spreadsheetml/2006/main" xmlns:r="http://schemas.openxmlformats.org/officeDocument/2006/relationships">
  <dimension ref="A1:G89"/>
  <sheetViews>
    <sheetView workbookViewId="0">
      <selection activeCell="G51" sqref="G51"/>
    </sheetView>
  </sheetViews>
  <sheetFormatPr defaultRowHeight="15.75"/>
  <cols>
    <col min="1" max="1" width="9.140625" style="103"/>
    <col min="2" max="2" width="28.28515625" style="103" customWidth="1"/>
    <col min="3" max="3" width="13.85546875" style="105" customWidth="1"/>
    <col min="4" max="4" width="43.85546875" style="103" customWidth="1"/>
    <col min="5" max="6" width="15.42578125" style="106" customWidth="1"/>
    <col min="7" max="7" width="15.140625" style="106" customWidth="1"/>
    <col min="8" max="16384" width="9.140625" style="103"/>
  </cols>
  <sheetData>
    <row r="1" spans="1:7">
      <c r="A1" s="1257" t="s">
        <v>446</v>
      </c>
      <c r="B1" s="1257"/>
      <c r="C1" s="1257"/>
      <c r="D1" s="1257"/>
      <c r="E1" s="1257"/>
      <c r="F1" s="1257"/>
      <c r="G1" s="1257"/>
    </row>
    <row r="2" spans="1:7">
      <c r="A2" s="1258" t="s">
        <v>986</v>
      </c>
      <c r="B2" s="1259"/>
      <c r="C2" s="1259"/>
      <c r="D2" s="1259"/>
      <c r="E2" s="1259"/>
      <c r="F2" s="1259"/>
      <c r="G2" s="1259"/>
    </row>
    <row r="3" spans="1:7" ht="34.5" customHeight="1">
      <c r="A3" s="121" t="s">
        <v>631</v>
      </c>
      <c r="B3" s="122"/>
      <c r="C3" s="122"/>
      <c r="D3" s="122"/>
      <c r="E3" s="122"/>
      <c r="F3" s="122"/>
      <c r="G3" s="122"/>
    </row>
    <row r="4" spans="1:7" ht="36.75" customHeight="1">
      <c r="A4" s="121"/>
      <c r="B4" s="123" t="s">
        <v>632</v>
      </c>
      <c r="C4" s="122"/>
      <c r="D4" s="122"/>
      <c r="E4" s="122"/>
      <c r="F4" s="122"/>
      <c r="G4" s="122"/>
    </row>
    <row r="5" spans="1:7">
      <c r="A5" s="122"/>
      <c r="B5" s="122"/>
      <c r="C5" s="122"/>
      <c r="D5" s="122"/>
      <c r="E5" s="122"/>
      <c r="F5" s="122"/>
      <c r="G5" s="122"/>
    </row>
    <row r="6" spans="1:7" ht="63">
      <c r="A6" s="5" t="s">
        <v>434</v>
      </c>
      <c r="B6" s="5" t="s">
        <v>338</v>
      </c>
      <c r="C6" s="5" t="s">
        <v>771</v>
      </c>
      <c r="D6" s="5" t="s">
        <v>333</v>
      </c>
      <c r="E6" s="5" t="s">
        <v>337</v>
      </c>
      <c r="F6" s="5" t="s">
        <v>770</v>
      </c>
      <c r="G6" s="5" t="s">
        <v>82</v>
      </c>
    </row>
    <row r="7" spans="1:7" ht="47.25">
      <c r="A7" s="1255" t="s">
        <v>634</v>
      </c>
      <c r="B7" s="1255" t="s">
        <v>635</v>
      </c>
      <c r="C7" s="1256">
        <v>0.04</v>
      </c>
      <c r="D7" s="85" t="s">
        <v>636</v>
      </c>
      <c r="E7" s="69">
        <v>0.17</v>
      </c>
      <c r="F7" s="83"/>
      <c r="G7" s="69">
        <f>E7*F7</f>
        <v>0</v>
      </c>
    </row>
    <row r="8" spans="1:7" ht="63">
      <c r="A8" s="1255"/>
      <c r="B8" s="1255"/>
      <c r="C8" s="1256"/>
      <c r="D8" s="85" t="s">
        <v>354</v>
      </c>
      <c r="E8" s="69">
        <v>0.33</v>
      </c>
      <c r="F8" s="83"/>
      <c r="G8" s="69">
        <f t="shared" ref="G8:G48" si="0">E8*F8</f>
        <v>0</v>
      </c>
    </row>
    <row r="9" spans="1:7" ht="78.75">
      <c r="A9" s="1255"/>
      <c r="B9" s="1255"/>
      <c r="C9" s="1256"/>
      <c r="D9" s="85" t="s">
        <v>355</v>
      </c>
      <c r="E9" s="69">
        <v>0.5</v>
      </c>
      <c r="F9" s="83"/>
      <c r="G9" s="69">
        <f t="shared" si="0"/>
        <v>0</v>
      </c>
    </row>
    <row r="10" spans="1:7">
      <c r="A10" s="70"/>
      <c r="B10" s="70"/>
      <c r="C10" s="72"/>
      <c r="D10" s="71"/>
      <c r="E10" s="72">
        <f>SUM(E7:E9)</f>
        <v>1</v>
      </c>
      <c r="F10" s="72"/>
      <c r="G10" s="72">
        <f>C7*SUM(G7:G9)</f>
        <v>0</v>
      </c>
    </row>
    <row r="11" spans="1:7" ht="126">
      <c r="A11" s="1255" t="s">
        <v>637</v>
      </c>
      <c r="B11" s="1255" t="s">
        <v>638</v>
      </c>
      <c r="C11" s="1256">
        <v>0.25</v>
      </c>
      <c r="D11" s="85" t="s">
        <v>356</v>
      </c>
      <c r="E11" s="69">
        <v>0.12</v>
      </c>
      <c r="F11" s="83"/>
      <c r="G11" s="69">
        <f t="shared" si="0"/>
        <v>0</v>
      </c>
    </row>
    <row r="12" spans="1:7" ht="47.25">
      <c r="A12" s="1255"/>
      <c r="B12" s="1255"/>
      <c r="C12" s="1256"/>
      <c r="D12" s="85" t="s">
        <v>639</v>
      </c>
      <c r="E12" s="69">
        <v>0.06</v>
      </c>
      <c r="F12" s="83"/>
      <c r="G12" s="69">
        <f t="shared" si="0"/>
        <v>0</v>
      </c>
    </row>
    <row r="13" spans="1:7" ht="78.75">
      <c r="A13" s="1255"/>
      <c r="B13" s="1255"/>
      <c r="C13" s="1256"/>
      <c r="D13" s="85" t="s">
        <v>640</v>
      </c>
      <c r="E13" s="69">
        <v>7.0000000000000007E-2</v>
      </c>
      <c r="F13" s="83"/>
      <c r="G13" s="69">
        <f t="shared" si="0"/>
        <v>0</v>
      </c>
    </row>
    <row r="14" spans="1:7" ht="31.5">
      <c r="A14" s="1255"/>
      <c r="B14" s="1255"/>
      <c r="C14" s="1256"/>
      <c r="D14" s="85" t="s">
        <v>641</v>
      </c>
      <c r="E14" s="69">
        <v>0.09</v>
      </c>
      <c r="F14" s="83"/>
      <c r="G14" s="69">
        <f t="shared" si="0"/>
        <v>0</v>
      </c>
    </row>
    <row r="15" spans="1:7" ht="94.5">
      <c r="A15" s="1255"/>
      <c r="B15" s="1255"/>
      <c r="C15" s="1256"/>
      <c r="D15" s="85" t="s">
        <v>642</v>
      </c>
      <c r="E15" s="69">
        <v>0.18</v>
      </c>
      <c r="F15" s="83"/>
      <c r="G15" s="69">
        <f t="shared" si="0"/>
        <v>0</v>
      </c>
    </row>
    <row r="16" spans="1:7" ht="110.25">
      <c r="A16" s="1255"/>
      <c r="B16" s="1255"/>
      <c r="C16" s="1256"/>
      <c r="D16" s="85" t="s">
        <v>144</v>
      </c>
      <c r="E16" s="69">
        <v>0.18</v>
      </c>
      <c r="F16" s="83"/>
      <c r="G16" s="69">
        <f t="shared" si="0"/>
        <v>0</v>
      </c>
    </row>
    <row r="17" spans="1:7" ht="31.5">
      <c r="A17" s="1255"/>
      <c r="B17" s="1255"/>
      <c r="C17" s="1256"/>
      <c r="D17" s="85" t="s">
        <v>145</v>
      </c>
      <c r="E17" s="69">
        <v>0.14000000000000001</v>
      </c>
      <c r="F17" s="83"/>
      <c r="G17" s="69">
        <f t="shared" si="0"/>
        <v>0</v>
      </c>
    </row>
    <row r="18" spans="1:7" ht="63">
      <c r="A18" s="1255"/>
      <c r="B18" s="1255"/>
      <c r="C18" s="1256"/>
      <c r="D18" s="85" t="s">
        <v>146</v>
      </c>
      <c r="E18" s="69">
        <v>0.16</v>
      </c>
      <c r="F18" s="83"/>
      <c r="G18" s="69">
        <f t="shared" si="0"/>
        <v>0</v>
      </c>
    </row>
    <row r="19" spans="1:7">
      <c r="A19" s="70"/>
      <c r="B19" s="70"/>
      <c r="C19" s="72"/>
      <c r="D19" s="71"/>
      <c r="E19" s="72">
        <f>SUM(E11:E18)</f>
        <v>1</v>
      </c>
      <c r="F19" s="72"/>
      <c r="G19" s="72">
        <f>C11*SUM(G11:G18)</f>
        <v>0</v>
      </c>
    </row>
    <row r="20" spans="1:7">
      <c r="A20" s="1255" t="s">
        <v>147</v>
      </c>
      <c r="B20" s="1255" t="s">
        <v>148</v>
      </c>
      <c r="C20" s="1256">
        <v>0.21</v>
      </c>
      <c r="D20" s="85" t="s">
        <v>149</v>
      </c>
      <c r="E20" s="69">
        <v>0.12</v>
      </c>
      <c r="F20" s="83"/>
      <c r="G20" s="69">
        <f t="shared" si="0"/>
        <v>0</v>
      </c>
    </row>
    <row r="21" spans="1:7" ht="31.5">
      <c r="A21" s="1255"/>
      <c r="B21" s="1255"/>
      <c r="C21" s="1256"/>
      <c r="D21" s="85" t="s">
        <v>150</v>
      </c>
      <c r="E21" s="69">
        <v>0.18</v>
      </c>
      <c r="F21" s="83"/>
      <c r="G21" s="69">
        <f t="shared" si="0"/>
        <v>0</v>
      </c>
    </row>
    <row r="22" spans="1:7" ht="31.5">
      <c r="A22" s="1255"/>
      <c r="B22" s="1255"/>
      <c r="C22" s="1256"/>
      <c r="D22" s="85" t="s">
        <v>151</v>
      </c>
      <c r="E22" s="69">
        <v>0.15</v>
      </c>
      <c r="F22" s="83"/>
      <c r="G22" s="69">
        <f t="shared" si="0"/>
        <v>0</v>
      </c>
    </row>
    <row r="23" spans="1:7">
      <c r="A23" s="1255"/>
      <c r="B23" s="1255"/>
      <c r="C23" s="1256"/>
      <c r="D23" s="85" t="s">
        <v>152</v>
      </c>
      <c r="E23" s="69">
        <v>0.18</v>
      </c>
      <c r="F23" s="83"/>
      <c r="G23" s="69">
        <f t="shared" si="0"/>
        <v>0</v>
      </c>
    </row>
    <row r="24" spans="1:7">
      <c r="A24" s="1255"/>
      <c r="B24" s="1255"/>
      <c r="C24" s="1256"/>
      <c r="D24" s="85" t="s">
        <v>153</v>
      </c>
      <c r="E24" s="69">
        <v>0.09</v>
      </c>
      <c r="F24" s="83"/>
      <c r="G24" s="69">
        <f t="shared" si="0"/>
        <v>0</v>
      </c>
    </row>
    <row r="25" spans="1:7">
      <c r="A25" s="1255"/>
      <c r="B25" s="1255"/>
      <c r="C25" s="1256"/>
      <c r="D25" s="85" t="s">
        <v>154</v>
      </c>
      <c r="E25" s="69">
        <v>7.0000000000000007E-2</v>
      </c>
      <c r="F25" s="83"/>
      <c r="G25" s="69">
        <f t="shared" si="0"/>
        <v>0</v>
      </c>
    </row>
    <row r="26" spans="1:7" ht="31.5">
      <c r="A26" s="1255"/>
      <c r="B26" s="1255"/>
      <c r="C26" s="1256"/>
      <c r="D26" s="85" t="s">
        <v>155</v>
      </c>
      <c r="E26" s="69">
        <v>0.21</v>
      </c>
      <c r="F26" s="83"/>
      <c r="G26" s="69">
        <f t="shared" si="0"/>
        <v>0</v>
      </c>
    </row>
    <row r="27" spans="1:7">
      <c r="A27" s="70"/>
      <c r="B27" s="70"/>
      <c r="C27" s="72"/>
      <c r="D27" s="71"/>
      <c r="E27" s="72">
        <f>SUM(E20:E26)</f>
        <v>0.99999999999999978</v>
      </c>
      <c r="F27" s="72"/>
      <c r="G27" s="72">
        <f>C20*SUM(G20:G26)</f>
        <v>0</v>
      </c>
    </row>
    <row r="28" spans="1:7">
      <c r="A28" s="1255" t="s">
        <v>156</v>
      </c>
      <c r="B28" s="1255" t="s">
        <v>157</v>
      </c>
      <c r="C28" s="1256">
        <v>0.18</v>
      </c>
      <c r="D28" s="85" t="s">
        <v>158</v>
      </c>
      <c r="E28" s="69">
        <v>0.19</v>
      </c>
      <c r="F28" s="83"/>
      <c r="G28" s="69">
        <f t="shared" si="0"/>
        <v>0</v>
      </c>
    </row>
    <row r="29" spans="1:7" ht="31.5">
      <c r="A29" s="1255"/>
      <c r="B29" s="1255"/>
      <c r="C29" s="1256"/>
      <c r="D29" s="85" t="s">
        <v>159</v>
      </c>
      <c r="E29" s="69">
        <v>0.28999999999999998</v>
      </c>
      <c r="F29" s="83"/>
      <c r="G29" s="69">
        <f t="shared" si="0"/>
        <v>0</v>
      </c>
    </row>
    <row r="30" spans="1:7">
      <c r="A30" s="1255"/>
      <c r="B30" s="1255"/>
      <c r="C30" s="1256"/>
      <c r="D30" s="85" t="s">
        <v>160</v>
      </c>
      <c r="E30" s="69">
        <v>0.05</v>
      </c>
      <c r="F30" s="83"/>
      <c r="G30" s="69">
        <f t="shared" si="0"/>
        <v>0</v>
      </c>
    </row>
    <row r="31" spans="1:7" ht="31.5">
      <c r="A31" s="1255"/>
      <c r="B31" s="1255"/>
      <c r="C31" s="1256"/>
      <c r="D31" s="85" t="s">
        <v>161</v>
      </c>
      <c r="E31" s="69">
        <v>0.23</v>
      </c>
      <c r="F31" s="83"/>
      <c r="G31" s="69">
        <f t="shared" si="0"/>
        <v>0</v>
      </c>
    </row>
    <row r="32" spans="1:7">
      <c r="A32" s="1255"/>
      <c r="B32" s="1255"/>
      <c r="C32" s="1256"/>
      <c r="D32" s="85" t="s">
        <v>162</v>
      </c>
      <c r="E32" s="69">
        <v>0.14000000000000001</v>
      </c>
      <c r="F32" s="83"/>
      <c r="G32" s="69">
        <f t="shared" si="0"/>
        <v>0</v>
      </c>
    </row>
    <row r="33" spans="1:7" ht="31.5">
      <c r="A33" s="1255"/>
      <c r="B33" s="1255"/>
      <c r="C33" s="1256"/>
      <c r="D33" s="85" t="s">
        <v>163</v>
      </c>
      <c r="E33" s="69">
        <v>0.1</v>
      </c>
      <c r="F33" s="83"/>
      <c r="G33" s="69">
        <f t="shared" si="0"/>
        <v>0</v>
      </c>
    </row>
    <row r="34" spans="1:7">
      <c r="A34" s="70"/>
      <c r="B34" s="70"/>
      <c r="C34" s="72"/>
      <c r="D34" s="71"/>
      <c r="E34" s="72">
        <f>SUM(E28:E33)</f>
        <v>1</v>
      </c>
      <c r="F34" s="72"/>
      <c r="G34" s="72">
        <f>C28*SUM(G28:G33)</f>
        <v>0</v>
      </c>
    </row>
    <row r="35" spans="1:7">
      <c r="A35" s="1255" t="s">
        <v>164</v>
      </c>
      <c r="B35" s="1255" t="s">
        <v>165</v>
      </c>
      <c r="C35" s="1256">
        <v>0.14000000000000001</v>
      </c>
      <c r="D35" s="85" t="s">
        <v>166</v>
      </c>
      <c r="E35" s="69">
        <v>0.33</v>
      </c>
      <c r="F35" s="83"/>
      <c r="G35" s="69">
        <f t="shared" si="0"/>
        <v>0</v>
      </c>
    </row>
    <row r="36" spans="1:7">
      <c r="A36" s="1255"/>
      <c r="B36" s="1255"/>
      <c r="C36" s="1256"/>
      <c r="D36" s="85" t="s">
        <v>167</v>
      </c>
      <c r="E36" s="69">
        <v>0.17</v>
      </c>
      <c r="F36" s="83"/>
      <c r="G36" s="69">
        <f t="shared" si="0"/>
        <v>0</v>
      </c>
    </row>
    <row r="37" spans="1:7">
      <c r="A37" s="1255"/>
      <c r="B37" s="1255"/>
      <c r="C37" s="1256"/>
      <c r="D37" s="85" t="s">
        <v>168</v>
      </c>
      <c r="E37" s="69">
        <v>0.5</v>
      </c>
      <c r="F37" s="83"/>
      <c r="G37" s="69">
        <f t="shared" si="0"/>
        <v>0</v>
      </c>
    </row>
    <row r="38" spans="1:7">
      <c r="A38" s="70"/>
      <c r="B38" s="70"/>
      <c r="C38" s="72"/>
      <c r="D38" s="71"/>
      <c r="E38" s="72">
        <f>SUM(E35:E37)</f>
        <v>1</v>
      </c>
      <c r="F38" s="72"/>
      <c r="G38" s="72">
        <f>C35*SUM(G35:G37)</f>
        <v>0</v>
      </c>
    </row>
    <row r="39" spans="1:7">
      <c r="A39" s="1255" t="s">
        <v>169</v>
      </c>
      <c r="B39" s="1255" t="s">
        <v>170</v>
      </c>
      <c r="C39" s="1256">
        <v>7.0000000000000007E-2</v>
      </c>
      <c r="D39" s="85" t="s">
        <v>171</v>
      </c>
      <c r="E39" s="69">
        <v>0.17</v>
      </c>
      <c r="F39" s="83"/>
      <c r="G39" s="69">
        <f t="shared" si="0"/>
        <v>0</v>
      </c>
    </row>
    <row r="40" spans="1:7">
      <c r="A40" s="1255"/>
      <c r="B40" s="1255"/>
      <c r="C40" s="1256"/>
      <c r="D40" s="85" t="s">
        <v>172</v>
      </c>
      <c r="E40" s="69">
        <v>0.33</v>
      </c>
      <c r="F40" s="83"/>
      <c r="G40" s="69">
        <f t="shared" si="0"/>
        <v>0</v>
      </c>
    </row>
    <row r="41" spans="1:7">
      <c r="A41" s="1255"/>
      <c r="B41" s="1255"/>
      <c r="C41" s="1256"/>
      <c r="D41" s="85" t="s">
        <v>173</v>
      </c>
      <c r="E41" s="69">
        <v>0.5</v>
      </c>
      <c r="F41" s="83"/>
      <c r="G41" s="69">
        <f t="shared" si="0"/>
        <v>0</v>
      </c>
    </row>
    <row r="42" spans="1:7">
      <c r="A42" s="70"/>
      <c r="B42" s="70"/>
      <c r="C42" s="72"/>
      <c r="D42" s="71"/>
      <c r="E42" s="72">
        <f>SUM(E39:E41)</f>
        <v>1</v>
      </c>
      <c r="F42" s="72"/>
      <c r="G42" s="72">
        <f>C39*SUM(G39:G41)</f>
        <v>0</v>
      </c>
    </row>
    <row r="43" spans="1:7" ht="31.5">
      <c r="A43" s="1255" t="s">
        <v>174</v>
      </c>
      <c r="B43" s="1255" t="s">
        <v>175</v>
      </c>
      <c r="C43" s="1256">
        <v>0.11</v>
      </c>
      <c r="D43" s="85" t="s">
        <v>176</v>
      </c>
      <c r="E43" s="69">
        <v>0.15</v>
      </c>
      <c r="F43" s="83"/>
      <c r="G43" s="69">
        <f t="shared" si="0"/>
        <v>0</v>
      </c>
    </row>
    <row r="44" spans="1:7">
      <c r="A44" s="1255"/>
      <c r="B44" s="1255"/>
      <c r="C44" s="1256"/>
      <c r="D44" s="85" t="s">
        <v>177</v>
      </c>
      <c r="E44" s="69">
        <v>0.11</v>
      </c>
      <c r="F44" s="83"/>
      <c r="G44" s="69">
        <f t="shared" si="0"/>
        <v>0</v>
      </c>
    </row>
    <row r="45" spans="1:7" ht="31.5">
      <c r="A45" s="1255"/>
      <c r="B45" s="1255"/>
      <c r="C45" s="1256"/>
      <c r="D45" s="85" t="s">
        <v>178</v>
      </c>
      <c r="E45" s="69">
        <v>0.23</v>
      </c>
      <c r="F45" s="83"/>
      <c r="G45" s="69">
        <f t="shared" si="0"/>
        <v>0</v>
      </c>
    </row>
    <row r="46" spans="1:7" ht="31.5">
      <c r="A46" s="1255"/>
      <c r="B46" s="1255"/>
      <c r="C46" s="1256"/>
      <c r="D46" s="85" t="s">
        <v>179</v>
      </c>
      <c r="E46" s="69">
        <v>0.19</v>
      </c>
      <c r="F46" s="83"/>
      <c r="G46" s="69">
        <f t="shared" si="0"/>
        <v>0</v>
      </c>
    </row>
    <row r="47" spans="1:7" ht="31.5">
      <c r="A47" s="1255"/>
      <c r="B47" s="1255"/>
      <c r="C47" s="1256"/>
      <c r="D47" s="85" t="s">
        <v>180</v>
      </c>
      <c r="E47" s="69">
        <v>0.24</v>
      </c>
      <c r="F47" s="83"/>
      <c r="G47" s="69">
        <f t="shared" si="0"/>
        <v>0</v>
      </c>
    </row>
    <row r="48" spans="1:7" ht="31.5">
      <c r="A48" s="1255"/>
      <c r="B48" s="1255"/>
      <c r="C48" s="1256"/>
      <c r="D48" s="85" t="s">
        <v>181</v>
      </c>
      <c r="E48" s="69">
        <v>0.08</v>
      </c>
      <c r="F48" s="83"/>
      <c r="G48" s="69">
        <f t="shared" si="0"/>
        <v>0</v>
      </c>
    </row>
    <row r="49" spans="1:7">
      <c r="A49" s="124"/>
      <c r="B49" s="124"/>
      <c r="C49" s="125"/>
      <c r="D49" s="124"/>
      <c r="E49" s="69">
        <f>SUM(E43:E48)</f>
        <v>0.99999999999999989</v>
      </c>
      <c r="F49" s="125"/>
      <c r="G49" s="69">
        <f>C43*SUM(G43:G48)</f>
        <v>0</v>
      </c>
    </row>
    <row r="50" spans="1:7" ht="22.5" customHeight="1">
      <c r="A50" s="1250" t="s">
        <v>443</v>
      </c>
      <c r="B50" s="1251"/>
      <c r="C50" s="126">
        <f>C7+C11+C20+C28+C35+C39+C43</f>
        <v>0.99999999999999989</v>
      </c>
      <c r="D50" s="126"/>
      <c r="E50" s="126"/>
      <c r="F50" s="126"/>
      <c r="G50" s="126">
        <f>G10+G19+G27+G34+G38+G42+G49</f>
        <v>0</v>
      </c>
    </row>
    <row r="51" spans="1:7">
      <c r="A51" s="1252" t="s">
        <v>444</v>
      </c>
      <c r="B51" s="1253"/>
      <c r="C51" s="1253"/>
      <c r="D51" s="1253"/>
      <c r="E51" s="1253"/>
      <c r="F51" s="1254"/>
      <c r="G51" s="72" t="str">
        <f>IF(G50&lt;=0.5,"низький",IF(G50&lt;=0.75,"середній",(IF(G50&lt;=0.95,"достатній",(IF(G50&lt;=1,"високий"))))))</f>
        <v>низький</v>
      </c>
    </row>
    <row r="52" spans="1:7" s="302" customFormat="1">
      <c r="A52" s="288" t="s">
        <v>182</v>
      </c>
      <c r="B52" s="289"/>
      <c r="C52" s="342"/>
      <c r="E52" s="343"/>
      <c r="F52" s="344"/>
      <c r="G52" s="112"/>
    </row>
    <row r="53" spans="1:7" s="302" customFormat="1" ht="17.25">
      <c r="A53" s="345" t="s">
        <v>589</v>
      </c>
      <c r="B53" s="346"/>
      <c r="C53" s="347"/>
      <c r="D53" s="303"/>
      <c r="E53" s="348"/>
      <c r="F53" s="349"/>
      <c r="G53" s="112"/>
    </row>
    <row r="54" spans="1:7" s="302" customFormat="1" ht="17.25">
      <c r="A54" s="345" t="s">
        <v>590</v>
      </c>
      <c r="B54" s="346"/>
      <c r="C54" s="347"/>
      <c r="D54" s="303"/>
      <c r="E54" s="348"/>
      <c r="F54" s="349"/>
      <c r="G54" s="112"/>
    </row>
    <row r="55" spans="1:7" s="302" customFormat="1" ht="17.25">
      <c r="A55" s="345" t="s">
        <v>591</v>
      </c>
      <c r="B55" s="346"/>
      <c r="C55" s="347"/>
      <c r="D55" s="303"/>
      <c r="E55" s="348"/>
      <c r="F55" s="349"/>
      <c r="G55" s="112"/>
    </row>
    <row r="56" spans="1:7" s="302" customFormat="1" ht="17.25">
      <c r="A56" s="345" t="s">
        <v>592</v>
      </c>
      <c r="B56" s="346"/>
      <c r="C56" s="347"/>
      <c r="D56" s="303"/>
      <c r="E56" s="348"/>
      <c r="F56" s="349"/>
      <c r="G56" s="112"/>
    </row>
    <row r="57" spans="1:7" s="302" customFormat="1" ht="17.25">
      <c r="A57" s="345" t="s">
        <v>593</v>
      </c>
      <c r="B57" s="346"/>
      <c r="C57" s="347"/>
      <c r="D57" s="303"/>
      <c r="E57" s="348"/>
      <c r="F57" s="349"/>
      <c r="G57" s="112"/>
    </row>
    <row r="58" spans="1:7" s="302" customFormat="1" ht="17.25">
      <c r="A58" s="345" t="s">
        <v>594</v>
      </c>
      <c r="B58" s="346"/>
      <c r="C58" s="347"/>
      <c r="D58" s="303"/>
      <c r="E58" s="348"/>
      <c r="F58" s="349"/>
      <c r="G58" s="112"/>
    </row>
    <row r="59" spans="1:7" s="302" customFormat="1" ht="17.25">
      <c r="A59" s="345" t="s">
        <v>595</v>
      </c>
      <c r="B59" s="346"/>
      <c r="C59" s="347"/>
      <c r="D59" s="303"/>
      <c r="E59" s="348"/>
      <c r="F59" s="349"/>
      <c r="G59" s="112"/>
    </row>
    <row r="60" spans="1:7" s="302" customFormat="1">
      <c r="A60" s="350" t="s">
        <v>596</v>
      </c>
      <c r="B60" s="346"/>
      <c r="C60" s="347"/>
      <c r="D60" s="303"/>
      <c r="E60" s="348"/>
      <c r="F60" s="349"/>
      <c r="G60" s="112"/>
    </row>
    <row r="61" spans="1:7" s="302" customFormat="1">
      <c r="A61" s="345" t="s">
        <v>597</v>
      </c>
      <c r="B61" s="346"/>
      <c r="C61" s="347"/>
      <c r="D61" s="303"/>
      <c r="E61" s="348"/>
      <c r="F61" s="349"/>
      <c r="G61" s="112"/>
    </row>
    <row r="62" spans="1:7" s="302" customFormat="1">
      <c r="A62" s="288" t="s">
        <v>792</v>
      </c>
      <c r="B62" s="346"/>
      <c r="C62" s="347"/>
      <c r="D62" s="303"/>
      <c r="E62" s="348"/>
      <c r="F62" s="349"/>
      <c r="G62" s="112"/>
    </row>
    <row r="63" spans="1:7" s="302" customFormat="1">
      <c r="A63" s="288" t="s">
        <v>793</v>
      </c>
      <c r="B63" s="346"/>
      <c r="C63" s="347"/>
      <c r="D63" s="303"/>
      <c r="E63" s="348"/>
      <c r="F63" s="349"/>
      <c r="G63" s="112"/>
    </row>
    <row r="64" spans="1:7" s="302" customFormat="1">
      <c r="A64" s="288" t="s">
        <v>794</v>
      </c>
      <c r="B64" s="346"/>
      <c r="C64" s="347"/>
      <c r="D64" s="303"/>
      <c r="E64" s="348"/>
      <c r="F64" s="349"/>
      <c r="G64" s="112"/>
    </row>
    <row r="65" spans="1:7" s="302" customFormat="1">
      <c r="A65" s="342"/>
      <c r="B65" s="342" t="s">
        <v>20</v>
      </c>
      <c r="C65" s="342"/>
      <c r="D65" s="342"/>
      <c r="E65" s="342"/>
      <c r="F65" s="342"/>
      <c r="G65" s="342"/>
    </row>
    <row r="66" spans="1:7" s="302" customFormat="1">
      <c r="A66" s="351"/>
      <c r="B66" s="351"/>
      <c r="C66" s="351"/>
      <c r="D66" s="351"/>
      <c r="E66" s="351"/>
      <c r="F66" s="351"/>
      <c r="G66" s="351"/>
    </row>
    <row r="67" spans="1:7" s="302" customFormat="1">
      <c r="A67" s="351"/>
      <c r="B67" s="351"/>
      <c r="C67" s="351"/>
      <c r="D67" s="351"/>
      <c r="E67" s="351"/>
      <c r="F67" s="351"/>
      <c r="G67" s="351"/>
    </row>
    <row r="68" spans="1:7" s="302" customFormat="1">
      <c r="A68" s="351"/>
      <c r="B68" s="351"/>
      <c r="C68" s="351"/>
      <c r="D68" s="351"/>
      <c r="E68" s="351"/>
      <c r="F68" s="351"/>
      <c r="G68" s="351"/>
    </row>
    <row r="69" spans="1:7" s="302" customFormat="1">
      <c r="A69" s="351"/>
      <c r="B69" s="351"/>
      <c r="C69" s="351"/>
      <c r="D69" s="351"/>
      <c r="E69" s="351"/>
      <c r="F69" s="351"/>
      <c r="G69" s="351"/>
    </row>
    <row r="70" spans="1:7" s="302" customFormat="1">
      <c r="A70" s="351"/>
      <c r="B70" s="351"/>
      <c r="C70" s="351"/>
      <c r="D70" s="351"/>
      <c r="E70" s="351"/>
      <c r="F70" s="351"/>
      <c r="G70" s="351"/>
    </row>
    <row r="71" spans="1:7" s="302" customFormat="1">
      <c r="A71" s="351"/>
      <c r="B71" s="351"/>
      <c r="C71" s="351"/>
      <c r="D71" s="351"/>
      <c r="E71" s="351"/>
      <c r="F71" s="351"/>
      <c r="G71" s="351"/>
    </row>
    <row r="72" spans="1:7" s="302" customFormat="1">
      <c r="A72" s="351"/>
      <c r="B72" s="351"/>
      <c r="C72" s="351"/>
      <c r="D72" s="351"/>
      <c r="E72" s="351"/>
      <c r="F72" s="351"/>
      <c r="G72" s="351"/>
    </row>
    <row r="73" spans="1:7" s="302" customFormat="1">
      <c r="A73" s="351"/>
      <c r="B73" s="351"/>
      <c r="C73" s="351"/>
      <c r="D73" s="351"/>
      <c r="E73" s="351"/>
      <c r="F73" s="351"/>
      <c r="G73" s="351"/>
    </row>
    <row r="74" spans="1:7" s="302" customFormat="1">
      <c r="A74" s="351"/>
      <c r="B74" s="351"/>
      <c r="C74" s="351"/>
      <c r="D74" s="351"/>
      <c r="E74" s="351"/>
      <c r="F74" s="351"/>
      <c r="G74" s="351"/>
    </row>
    <row r="75" spans="1:7" s="302" customFormat="1">
      <c r="A75" s="351"/>
      <c r="B75" s="351"/>
      <c r="C75" s="351"/>
      <c r="D75" s="351"/>
      <c r="E75" s="351"/>
      <c r="F75" s="351"/>
      <c r="G75" s="351"/>
    </row>
    <row r="76" spans="1:7" s="302" customFormat="1">
      <c r="A76" s="351"/>
      <c r="B76" s="351"/>
      <c r="C76" s="351"/>
      <c r="D76" s="351"/>
      <c r="E76" s="351"/>
      <c r="F76" s="351"/>
      <c r="G76" s="351"/>
    </row>
    <row r="77" spans="1:7" s="302" customFormat="1">
      <c r="A77" s="351"/>
      <c r="B77" s="351"/>
      <c r="C77" s="351"/>
      <c r="D77" s="351"/>
      <c r="E77" s="351"/>
      <c r="F77" s="351"/>
      <c r="G77" s="351"/>
    </row>
    <row r="78" spans="1:7" s="302" customFormat="1">
      <c r="A78" s="351"/>
      <c r="B78" s="351"/>
      <c r="C78" s="351"/>
      <c r="D78" s="351"/>
      <c r="E78" s="351"/>
      <c r="F78" s="351"/>
      <c r="G78" s="351"/>
    </row>
    <row r="79" spans="1:7" s="302" customFormat="1">
      <c r="A79" s="351"/>
      <c r="B79" s="351"/>
      <c r="C79" s="351"/>
      <c r="D79" s="351"/>
      <c r="E79" s="351"/>
      <c r="F79" s="351"/>
      <c r="G79" s="351"/>
    </row>
    <row r="80" spans="1:7" s="302" customFormat="1">
      <c r="A80" s="342"/>
      <c r="B80" s="352" t="s">
        <v>2418</v>
      </c>
      <c r="C80" s="352"/>
      <c r="D80" s="352"/>
      <c r="E80" s="352"/>
      <c r="F80" s="352"/>
      <c r="G80" s="352"/>
    </row>
    <row r="81" spans="1:7" s="302" customFormat="1">
      <c r="A81" s="342"/>
      <c r="B81" s="353"/>
      <c r="C81" s="353"/>
      <c r="D81" s="353"/>
      <c r="E81" s="353"/>
      <c r="F81" s="353"/>
      <c r="G81" s="353"/>
    </row>
    <row r="82" spans="1:7" s="302" customFormat="1">
      <c r="A82" s="342"/>
      <c r="B82" s="352" t="s">
        <v>22</v>
      </c>
      <c r="C82" s="352"/>
      <c r="D82" s="352"/>
      <c r="E82" s="352"/>
      <c r="F82" s="352"/>
      <c r="G82" s="352"/>
    </row>
    <row r="83" spans="1:7" s="302" customFormat="1">
      <c r="A83" s="342"/>
      <c r="B83" s="353"/>
      <c r="C83" s="353"/>
      <c r="D83" s="353"/>
      <c r="E83" s="353"/>
      <c r="F83" s="353"/>
      <c r="G83" s="353"/>
    </row>
    <row r="84" spans="1:7" s="302" customFormat="1">
      <c r="A84" s="342"/>
      <c r="B84" s="352" t="s">
        <v>23</v>
      </c>
      <c r="C84" s="352"/>
      <c r="D84" s="352"/>
      <c r="E84" s="352"/>
      <c r="F84" s="352"/>
      <c r="G84" s="352"/>
    </row>
    <row r="85" spans="1:7" s="302" customFormat="1">
      <c r="A85" s="342"/>
      <c r="B85" s="352" t="s">
        <v>24</v>
      </c>
      <c r="C85" s="352"/>
      <c r="D85" s="352"/>
      <c r="E85" s="352"/>
      <c r="F85" s="352"/>
      <c r="G85" s="352"/>
    </row>
    <row r="86" spans="1:7" s="303" customFormat="1">
      <c r="A86" s="346"/>
      <c r="B86" s="346"/>
      <c r="E86" s="333"/>
    </row>
    <row r="87" spans="1:7" s="101" customFormat="1">
      <c r="A87" s="290"/>
      <c r="B87" s="289"/>
      <c r="C87" s="63"/>
      <c r="E87" s="63"/>
    </row>
    <row r="88" spans="1:7" s="101" customFormat="1">
      <c r="A88" s="290"/>
      <c r="B88" s="289"/>
      <c r="C88" s="63"/>
      <c r="E88" s="63"/>
    </row>
    <row r="89" spans="1:7" s="101" customFormat="1">
      <c r="A89" s="290"/>
      <c r="B89" s="289"/>
      <c r="C89" s="63"/>
      <c r="E89" s="63"/>
    </row>
  </sheetData>
  <mergeCells count="25">
    <mergeCell ref="A11:A18"/>
    <mergeCell ref="B11:B18"/>
    <mergeCell ref="C11:C18"/>
    <mergeCell ref="A1:G1"/>
    <mergeCell ref="A2:G2"/>
    <mergeCell ref="A7:A9"/>
    <mergeCell ref="B7:B9"/>
    <mergeCell ref="C7:C9"/>
    <mergeCell ref="A20:A26"/>
    <mergeCell ref="B20:B26"/>
    <mergeCell ref="C20:C26"/>
    <mergeCell ref="A28:A33"/>
    <mergeCell ref="B28:B33"/>
    <mergeCell ref="C28:C33"/>
    <mergeCell ref="A50:B50"/>
    <mergeCell ref="A51:F51"/>
    <mergeCell ref="A35:A37"/>
    <mergeCell ref="B35:B37"/>
    <mergeCell ref="C35:C37"/>
    <mergeCell ref="A39:A41"/>
    <mergeCell ref="B39:B41"/>
    <mergeCell ref="C39:C41"/>
    <mergeCell ref="A43:A48"/>
    <mergeCell ref="B43:B48"/>
    <mergeCell ref="C43:C48"/>
  </mergeCells>
  <phoneticPr fontId="4" type="noConversion"/>
  <pageMargins left="0.7" right="0.7" top="0.75" bottom="0.75" header="0.3" footer="0.3"/>
  <pageSetup paperSize="9" scale="60" orientation="portrait" r:id="rId1"/>
</worksheet>
</file>

<file path=xl/worksheets/sheet19.xml><?xml version="1.0" encoding="utf-8"?>
<worksheet xmlns="http://schemas.openxmlformats.org/spreadsheetml/2006/main" xmlns:r="http://schemas.openxmlformats.org/officeDocument/2006/relationships">
  <dimension ref="A1:G50"/>
  <sheetViews>
    <sheetView workbookViewId="0">
      <selection activeCell="G12" sqref="G12"/>
    </sheetView>
  </sheetViews>
  <sheetFormatPr defaultRowHeight="15.75"/>
  <cols>
    <col min="1" max="1" width="7" style="81" bestFit="1" customWidth="1"/>
    <col min="2" max="2" width="20.85546875" style="115" customWidth="1"/>
    <col min="3" max="3" width="13.28515625" style="63" customWidth="1"/>
    <col min="4" max="4" width="48.28515625" style="25" customWidth="1"/>
    <col min="5" max="5" width="16.42578125" style="63" customWidth="1"/>
    <col min="6" max="6" width="17.7109375" style="63" customWidth="1"/>
    <col min="7" max="7" width="13.5703125" style="63" bestFit="1" customWidth="1"/>
    <col min="8" max="16384" width="9.140625" style="101"/>
  </cols>
  <sheetData>
    <row r="1" spans="1:7" ht="15.75" customHeight="1">
      <c r="A1" s="1132" t="s">
        <v>446</v>
      </c>
      <c r="B1" s="1132"/>
      <c r="C1" s="1132"/>
      <c r="D1" s="1132"/>
      <c r="E1" s="1132"/>
      <c r="F1" s="1132"/>
      <c r="G1" s="1132"/>
    </row>
    <row r="2" spans="1:7" ht="50.25" customHeight="1">
      <c r="A2" s="1131" t="s">
        <v>1602</v>
      </c>
      <c r="B2" s="1132"/>
      <c r="C2" s="1132"/>
      <c r="D2" s="1132"/>
      <c r="E2" s="1132"/>
      <c r="F2" s="1132"/>
      <c r="G2" s="1132"/>
    </row>
    <row r="4" spans="1:7" ht="63">
      <c r="A4" s="5" t="s">
        <v>434</v>
      </c>
      <c r="B4" s="5" t="s">
        <v>338</v>
      </c>
      <c r="C4" s="287" t="s">
        <v>771</v>
      </c>
      <c r="D4" s="287" t="s">
        <v>333</v>
      </c>
      <c r="E4" s="287" t="s">
        <v>337</v>
      </c>
      <c r="F4" s="287" t="s">
        <v>770</v>
      </c>
      <c r="G4" s="287" t="s">
        <v>82</v>
      </c>
    </row>
    <row r="5" spans="1:7" ht="110.25">
      <c r="A5" s="84">
        <v>1</v>
      </c>
      <c r="B5" s="292" t="s">
        <v>1603</v>
      </c>
      <c r="C5" s="100"/>
      <c r="D5" s="695" t="s">
        <v>235</v>
      </c>
      <c r="E5" s="696">
        <v>0.05</v>
      </c>
      <c r="F5" s="620"/>
      <c r="G5" s="100">
        <f t="shared" ref="G5:G10" si="0">SUM(F5)*E5</f>
        <v>0</v>
      </c>
    </row>
    <row r="6" spans="1:7" ht="63">
      <c r="A6" s="84"/>
      <c r="B6" s="167"/>
      <c r="C6" s="100"/>
      <c r="D6" s="695" t="s">
        <v>1604</v>
      </c>
      <c r="E6" s="696">
        <v>0.16</v>
      </c>
      <c r="F6" s="620"/>
      <c r="G6" s="100">
        <f t="shared" si="0"/>
        <v>0</v>
      </c>
    </row>
    <row r="7" spans="1:7" ht="47.25">
      <c r="A7" s="84"/>
      <c r="B7" s="167"/>
      <c r="C7" s="100"/>
      <c r="D7" s="695" t="s">
        <v>1605</v>
      </c>
      <c r="E7" s="696">
        <v>0.28999999999999998</v>
      </c>
      <c r="F7" s="620"/>
      <c r="G7" s="100">
        <f t="shared" si="0"/>
        <v>0</v>
      </c>
    </row>
    <row r="8" spans="1:7" ht="31.5">
      <c r="A8" s="84"/>
      <c r="B8" s="167"/>
      <c r="C8" s="100"/>
      <c r="D8" s="695" t="s">
        <v>236</v>
      </c>
      <c r="E8" s="696">
        <v>0.24</v>
      </c>
      <c r="F8" s="620"/>
      <c r="G8" s="100">
        <f t="shared" si="0"/>
        <v>0</v>
      </c>
    </row>
    <row r="9" spans="1:7" ht="47.25">
      <c r="A9" s="84"/>
      <c r="B9" s="167"/>
      <c r="C9" s="100"/>
      <c r="D9" s="695" t="s">
        <v>1606</v>
      </c>
      <c r="E9" s="696">
        <v>0.1</v>
      </c>
      <c r="F9" s="620"/>
      <c r="G9" s="100">
        <f t="shared" si="0"/>
        <v>0</v>
      </c>
    </row>
    <row r="10" spans="1:7" ht="47.25">
      <c r="A10" s="84"/>
      <c r="B10" s="167"/>
      <c r="C10" s="100"/>
      <c r="D10" s="695" t="s">
        <v>1601</v>
      </c>
      <c r="E10" s="696">
        <v>0.16</v>
      </c>
      <c r="F10" s="620"/>
      <c r="G10" s="100">
        <f t="shared" si="0"/>
        <v>0</v>
      </c>
    </row>
    <row r="11" spans="1:7">
      <c r="A11" s="41"/>
      <c r="B11" s="28" t="s">
        <v>848</v>
      </c>
      <c r="C11" s="30">
        <v>1</v>
      </c>
      <c r="D11" s="622"/>
      <c r="E11" s="30">
        <f>SUM(E5:E10)</f>
        <v>1</v>
      </c>
      <c r="F11" s="30" t="s">
        <v>49</v>
      </c>
      <c r="G11" s="30">
        <f>SUM(G5:G10)*C11</f>
        <v>0</v>
      </c>
    </row>
    <row r="12" spans="1:7" ht="14.25" customHeight="1">
      <c r="A12" s="12"/>
      <c r="B12" s="26" t="s">
        <v>444</v>
      </c>
      <c r="C12" s="10"/>
      <c r="D12" s="10"/>
      <c r="E12" s="11"/>
      <c r="F12" s="3"/>
      <c r="G12" s="21" t="str">
        <f>IF(G11&lt;=0.5,"низький",IF(G11&lt;=0.75,"середній",(IF(G11&lt;=0.95,"достатній",(IF(G11&lt;=1,"високий"))))))</f>
        <v>низький</v>
      </c>
    </row>
    <row r="13" spans="1:7" s="302" customFormat="1">
      <c r="A13" s="288" t="s">
        <v>182</v>
      </c>
      <c r="B13" s="289"/>
      <c r="C13" s="342"/>
      <c r="E13" s="343"/>
      <c r="F13" s="344"/>
      <c r="G13" s="112"/>
    </row>
    <row r="14" spans="1:7" s="302" customFormat="1" ht="17.25">
      <c r="A14" s="345" t="s">
        <v>589</v>
      </c>
      <c r="B14" s="346"/>
      <c r="C14" s="347"/>
      <c r="D14" s="303"/>
      <c r="E14" s="348"/>
      <c r="F14" s="349"/>
      <c r="G14" s="112"/>
    </row>
    <row r="15" spans="1:7" s="302" customFormat="1" ht="17.25">
      <c r="A15" s="345" t="s">
        <v>590</v>
      </c>
      <c r="B15" s="346"/>
      <c r="C15" s="347"/>
      <c r="D15" s="303"/>
      <c r="E15" s="348"/>
      <c r="F15" s="349"/>
      <c r="G15" s="112"/>
    </row>
    <row r="16" spans="1:7" s="302" customFormat="1" ht="17.25">
      <c r="A16" s="345" t="s">
        <v>591</v>
      </c>
      <c r="B16" s="346"/>
      <c r="C16" s="347"/>
      <c r="D16" s="303"/>
      <c r="E16" s="348"/>
      <c r="F16" s="349"/>
      <c r="G16" s="112"/>
    </row>
    <row r="17" spans="1:7" s="302" customFormat="1" ht="17.25">
      <c r="A17" s="345" t="s">
        <v>592</v>
      </c>
      <c r="B17" s="346"/>
      <c r="C17" s="347"/>
      <c r="D17" s="303"/>
      <c r="E17" s="348"/>
      <c r="F17" s="349"/>
      <c r="G17" s="112"/>
    </row>
    <row r="18" spans="1:7" s="302" customFormat="1" ht="17.25">
      <c r="A18" s="345" t="s">
        <v>593</v>
      </c>
      <c r="B18" s="346"/>
      <c r="C18" s="347"/>
      <c r="D18" s="303"/>
      <c r="E18" s="348"/>
      <c r="F18" s="349"/>
      <c r="G18" s="112"/>
    </row>
    <row r="19" spans="1:7" s="302" customFormat="1" ht="17.25">
      <c r="A19" s="345" t="s">
        <v>594</v>
      </c>
      <c r="B19" s="346"/>
      <c r="C19" s="347"/>
      <c r="D19" s="303"/>
      <c r="E19" s="348"/>
      <c r="F19" s="349"/>
      <c r="G19" s="112"/>
    </row>
    <row r="20" spans="1:7" s="302" customFormat="1" ht="17.25">
      <c r="A20" s="345" t="s">
        <v>595</v>
      </c>
      <c r="B20" s="346"/>
      <c r="C20" s="347"/>
      <c r="D20" s="303"/>
      <c r="E20" s="348"/>
      <c r="F20" s="349"/>
      <c r="G20" s="112"/>
    </row>
    <row r="21" spans="1:7" s="302" customFormat="1">
      <c r="A21" s="350" t="s">
        <v>596</v>
      </c>
      <c r="B21" s="346"/>
      <c r="C21" s="347"/>
      <c r="D21" s="303"/>
      <c r="E21" s="348"/>
      <c r="F21" s="349"/>
      <c r="G21" s="112"/>
    </row>
    <row r="22" spans="1:7" s="302" customFormat="1">
      <c r="A22" s="345" t="s">
        <v>597</v>
      </c>
      <c r="B22" s="346"/>
      <c r="C22" s="347"/>
      <c r="D22" s="303"/>
      <c r="E22" s="348"/>
      <c r="F22" s="349"/>
      <c r="G22" s="112"/>
    </row>
    <row r="23" spans="1:7" s="302" customFormat="1">
      <c r="A23" s="288" t="s">
        <v>792</v>
      </c>
      <c r="B23" s="346"/>
      <c r="C23" s="347"/>
      <c r="D23" s="303"/>
      <c r="E23" s="348"/>
      <c r="F23" s="349"/>
      <c r="G23" s="112"/>
    </row>
    <row r="24" spans="1:7" s="302" customFormat="1">
      <c r="A24" s="288" t="s">
        <v>793</v>
      </c>
      <c r="B24" s="346"/>
      <c r="C24" s="347"/>
      <c r="D24" s="303"/>
      <c r="E24" s="348"/>
      <c r="F24" s="349"/>
      <c r="G24" s="112"/>
    </row>
    <row r="25" spans="1:7" s="302" customFormat="1">
      <c r="A25" s="288" t="s">
        <v>794</v>
      </c>
      <c r="B25" s="346"/>
      <c r="C25" s="347"/>
      <c r="D25" s="303"/>
      <c r="E25" s="348"/>
      <c r="F25" s="349"/>
      <c r="G25" s="112"/>
    </row>
    <row r="26" spans="1:7" s="302" customFormat="1">
      <c r="A26" s="342"/>
      <c r="B26" s="342" t="s">
        <v>20</v>
      </c>
      <c r="C26" s="342"/>
      <c r="D26" s="342"/>
      <c r="E26" s="342"/>
      <c r="F26" s="344"/>
      <c r="G26" s="342"/>
    </row>
    <row r="27" spans="1:7" s="302" customFormat="1">
      <c r="A27" s="351"/>
      <c r="B27" s="351"/>
      <c r="C27" s="351"/>
      <c r="D27" s="351"/>
      <c r="E27" s="351"/>
      <c r="F27" s="654"/>
      <c r="G27" s="351"/>
    </row>
    <row r="28" spans="1:7" s="302" customFormat="1">
      <c r="A28" s="351"/>
      <c r="B28" s="351"/>
      <c r="C28" s="351"/>
      <c r="D28" s="351"/>
      <c r="E28" s="351"/>
      <c r="F28" s="654"/>
      <c r="G28" s="351"/>
    </row>
    <row r="29" spans="1:7" s="302" customFormat="1">
      <c r="A29" s="351"/>
      <c r="B29" s="351"/>
      <c r="C29" s="351"/>
      <c r="D29" s="351"/>
      <c r="E29" s="351"/>
      <c r="F29" s="654"/>
      <c r="G29" s="351"/>
    </row>
    <row r="30" spans="1:7" s="302" customFormat="1">
      <c r="A30" s="351"/>
      <c r="B30" s="351"/>
      <c r="C30" s="351"/>
      <c r="D30" s="351"/>
      <c r="E30" s="351"/>
      <c r="F30" s="654"/>
      <c r="G30" s="351"/>
    </row>
    <row r="31" spans="1:7" s="302" customFormat="1">
      <c r="A31" s="351"/>
      <c r="B31" s="351"/>
      <c r="C31" s="351"/>
      <c r="D31" s="351"/>
      <c r="E31" s="351"/>
      <c r="F31" s="654"/>
      <c r="G31" s="351"/>
    </row>
    <row r="32" spans="1:7" s="302" customFormat="1">
      <c r="A32" s="351"/>
      <c r="B32" s="351"/>
      <c r="C32" s="351"/>
      <c r="D32" s="351"/>
      <c r="E32" s="351"/>
      <c r="F32" s="654"/>
      <c r="G32" s="351"/>
    </row>
    <row r="33" spans="1:7" s="302" customFormat="1">
      <c r="A33" s="351"/>
      <c r="B33" s="351"/>
      <c r="C33" s="351"/>
      <c r="D33" s="351"/>
      <c r="E33" s="351"/>
      <c r="F33" s="654"/>
      <c r="G33" s="351"/>
    </row>
    <row r="34" spans="1:7" s="302" customFormat="1">
      <c r="A34" s="351"/>
      <c r="B34" s="351"/>
      <c r="C34" s="351"/>
      <c r="D34" s="351"/>
      <c r="E34" s="351"/>
      <c r="F34" s="654"/>
      <c r="G34" s="351"/>
    </row>
    <row r="35" spans="1:7" s="302" customFormat="1">
      <c r="A35" s="351"/>
      <c r="B35" s="351"/>
      <c r="C35" s="351"/>
      <c r="D35" s="351"/>
      <c r="E35" s="351"/>
      <c r="F35" s="654"/>
      <c r="G35" s="351"/>
    </row>
    <row r="36" spans="1:7" s="302" customFormat="1">
      <c r="A36" s="351"/>
      <c r="B36" s="351"/>
      <c r="C36" s="351"/>
      <c r="D36" s="351"/>
      <c r="E36" s="351"/>
      <c r="F36" s="654"/>
      <c r="G36" s="351"/>
    </row>
    <row r="37" spans="1:7" s="302" customFormat="1">
      <c r="A37" s="351"/>
      <c r="B37" s="351"/>
      <c r="C37" s="351"/>
      <c r="D37" s="351"/>
      <c r="E37" s="351"/>
      <c r="F37" s="654"/>
      <c r="G37" s="351"/>
    </row>
    <row r="38" spans="1:7" s="302" customFormat="1">
      <c r="A38" s="351"/>
      <c r="B38" s="351"/>
      <c r="C38" s="351"/>
      <c r="D38" s="351"/>
      <c r="E38" s="351"/>
      <c r="F38" s="654"/>
      <c r="G38" s="351"/>
    </row>
    <row r="39" spans="1:7" s="302" customFormat="1">
      <c r="A39" s="351"/>
      <c r="B39" s="351"/>
      <c r="C39" s="351"/>
      <c r="D39" s="351"/>
      <c r="E39" s="351"/>
      <c r="F39" s="654"/>
      <c r="G39" s="351"/>
    </row>
    <row r="40" spans="1:7" s="302" customFormat="1">
      <c r="A40" s="351"/>
      <c r="B40" s="351"/>
      <c r="C40" s="351"/>
      <c r="D40" s="351"/>
      <c r="E40" s="351"/>
      <c r="F40" s="654"/>
      <c r="G40" s="351"/>
    </row>
    <row r="41" spans="1:7" s="302" customFormat="1">
      <c r="A41" s="342"/>
      <c r="B41" s="352" t="s">
        <v>2418</v>
      </c>
      <c r="C41" s="352"/>
      <c r="D41" s="352"/>
      <c r="E41" s="352"/>
      <c r="F41" s="344"/>
      <c r="G41" s="352"/>
    </row>
    <row r="42" spans="1:7" s="302" customFormat="1">
      <c r="A42" s="342"/>
      <c r="B42" s="353"/>
      <c r="C42" s="353"/>
      <c r="D42" s="353"/>
      <c r="E42" s="353"/>
      <c r="F42" s="344"/>
      <c r="G42" s="353"/>
    </row>
    <row r="43" spans="1:7" s="302" customFormat="1">
      <c r="A43" s="342"/>
      <c r="B43" s="352" t="s">
        <v>22</v>
      </c>
      <c r="C43" s="352"/>
      <c r="D43" s="352"/>
      <c r="E43" s="352"/>
      <c r="F43" s="344"/>
      <c r="G43" s="352"/>
    </row>
    <row r="44" spans="1:7" s="302" customFormat="1">
      <c r="A44" s="342"/>
      <c r="B44" s="353"/>
      <c r="C44" s="353"/>
      <c r="D44" s="353"/>
      <c r="E44" s="353"/>
      <c r="F44" s="344"/>
      <c r="G44" s="353"/>
    </row>
    <row r="45" spans="1:7" s="302" customFormat="1">
      <c r="A45" s="342"/>
      <c r="B45" s="352" t="s">
        <v>23</v>
      </c>
      <c r="C45" s="352"/>
      <c r="D45" s="352"/>
      <c r="E45" s="352"/>
      <c r="F45" s="344"/>
      <c r="G45" s="352"/>
    </row>
    <row r="46" spans="1:7" s="302" customFormat="1">
      <c r="A46" s="342"/>
      <c r="B46" s="352" t="s">
        <v>24</v>
      </c>
      <c r="C46" s="352"/>
      <c r="D46" s="352"/>
      <c r="E46" s="352"/>
      <c r="F46" s="344"/>
      <c r="G46" s="352"/>
    </row>
    <row r="47" spans="1:7" s="303" customFormat="1">
      <c r="A47" s="346"/>
      <c r="B47" s="346"/>
      <c r="E47" s="333"/>
      <c r="F47" s="333"/>
    </row>
    <row r="48" spans="1:7">
      <c r="A48" s="290"/>
      <c r="B48" s="289"/>
      <c r="D48" s="101"/>
      <c r="G48" s="101"/>
    </row>
    <row r="49" spans="1:7">
      <c r="A49" s="290"/>
      <c r="B49" s="289"/>
      <c r="D49" s="101"/>
      <c r="G49" s="101"/>
    </row>
    <row r="50" spans="1:7">
      <c r="A50" s="290"/>
      <c r="B50" s="289"/>
      <c r="D50" s="101"/>
      <c r="G50" s="101"/>
    </row>
  </sheetData>
  <mergeCells count="2">
    <mergeCell ref="A1:G1"/>
    <mergeCell ref="A2:G2"/>
  </mergeCells>
  <phoneticPr fontId="4" type="noConversion"/>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dimension ref="A1:H93"/>
  <sheetViews>
    <sheetView zoomScale="110" zoomScaleNormal="110" workbookViewId="0">
      <selection activeCell="H93" sqref="H93"/>
    </sheetView>
  </sheetViews>
  <sheetFormatPr defaultRowHeight="15.75"/>
  <cols>
    <col min="1" max="1" width="7" style="346" bestFit="1" customWidth="1"/>
    <col min="2" max="2" width="22" style="346" customWidth="1"/>
    <col min="3" max="3" width="11.5703125" style="303" customWidth="1"/>
    <col min="4" max="4" width="40.42578125" style="303" customWidth="1"/>
    <col min="5" max="5" width="13.85546875" style="333" customWidth="1"/>
    <col min="6" max="6" width="14.5703125" style="303" bestFit="1" customWidth="1"/>
    <col min="7" max="7" width="16" style="303" customWidth="1"/>
    <col min="8" max="16384" width="9.140625" style="303"/>
  </cols>
  <sheetData>
    <row r="1" spans="1:7" s="302" customFormat="1">
      <c r="A1" s="1131" t="s">
        <v>446</v>
      </c>
      <c r="B1" s="1131"/>
      <c r="C1" s="1131"/>
      <c r="D1" s="1131"/>
      <c r="E1" s="1131"/>
      <c r="F1" s="1131"/>
      <c r="G1" s="1131"/>
    </row>
    <row r="2" spans="1:7" ht="62.25" customHeight="1">
      <c r="A2" s="1135" t="s">
        <v>80</v>
      </c>
      <c r="B2" s="1135"/>
      <c r="C2" s="1135"/>
      <c r="D2" s="1135"/>
      <c r="E2" s="1135"/>
      <c r="F2" s="1135"/>
      <c r="G2" s="1135"/>
    </row>
    <row r="3" spans="1:7" s="25" customFormat="1">
      <c r="A3" s="354"/>
      <c r="B3" s="354"/>
      <c r="E3" s="332"/>
    </row>
    <row r="4" spans="1:7" s="302" customFormat="1" ht="63">
      <c r="A4" s="287" t="s">
        <v>434</v>
      </c>
      <c r="B4" s="287" t="s">
        <v>338</v>
      </c>
      <c r="C4" s="287" t="s">
        <v>771</v>
      </c>
      <c r="D4" s="287" t="s">
        <v>333</v>
      </c>
      <c r="E4" s="287" t="s">
        <v>337</v>
      </c>
      <c r="F4" s="287" t="s">
        <v>770</v>
      </c>
      <c r="G4" s="5" t="s">
        <v>82</v>
      </c>
    </row>
    <row r="5" spans="1:7" s="25" customFormat="1" ht="235.5" customHeight="1">
      <c r="A5" s="306">
        <v>1</v>
      </c>
      <c r="B5" s="319" t="s">
        <v>723</v>
      </c>
      <c r="C5" s="320"/>
      <c r="D5" s="691" t="s">
        <v>1590</v>
      </c>
      <c r="E5" s="320">
        <v>0.35</v>
      </c>
      <c r="F5" s="308"/>
      <c r="G5" s="286">
        <f>F5*E5</f>
        <v>0</v>
      </c>
    </row>
    <row r="6" spans="1:7" ht="63">
      <c r="A6" s="20"/>
      <c r="B6" s="304"/>
      <c r="C6" s="305"/>
      <c r="D6" s="86" t="s">
        <v>1150</v>
      </c>
      <c r="E6" s="305">
        <v>0.65</v>
      </c>
      <c r="F6" s="306"/>
      <c r="G6" s="307">
        <f t="shared" ref="G6:G52" si="0">F6*E6</f>
        <v>0</v>
      </c>
    </row>
    <row r="7" spans="1:7" s="302" customFormat="1">
      <c r="A7" s="316"/>
      <c r="B7" s="324" t="s">
        <v>848</v>
      </c>
      <c r="C7" s="29">
        <v>0.04</v>
      </c>
      <c r="D7" s="45"/>
      <c r="E7" s="29">
        <f>SUM(E5:E6)</f>
        <v>1</v>
      </c>
      <c r="F7" s="27" t="s">
        <v>46</v>
      </c>
      <c r="G7" s="27">
        <f>SUM(G5:G6)*C7</f>
        <v>0</v>
      </c>
    </row>
    <row r="8" spans="1:7" ht="78.75">
      <c r="A8" s="306">
        <v>2</v>
      </c>
      <c r="B8" s="319" t="s">
        <v>81</v>
      </c>
      <c r="C8" s="306"/>
      <c r="D8" s="322" t="s">
        <v>1151</v>
      </c>
      <c r="E8" s="320">
        <v>0.33</v>
      </c>
      <c r="F8" s="321"/>
      <c r="G8" s="307">
        <f t="shared" si="0"/>
        <v>0</v>
      </c>
    </row>
    <row r="9" spans="1:7" s="25" customFormat="1" ht="47.25">
      <c r="A9" s="308"/>
      <c r="B9" s="309"/>
      <c r="C9" s="308"/>
      <c r="D9" s="322" t="s">
        <v>1152</v>
      </c>
      <c r="E9" s="310">
        <v>7.0000000000000007E-2</v>
      </c>
      <c r="F9" s="323"/>
      <c r="G9" s="286">
        <f t="shared" si="0"/>
        <v>0</v>
      </c>
    </row>
    <row r="10" spans="1:7" s="302" customFormat="1" ht="94.5">
      <c r="A10" s="20"/>
      <c r="B10" s="304"/>
      <c r="C10" s="20"/>
      <c r="D10" s="322" t="s">
        <v>1153</v>
      </c>
      <c r="E10" s="305">
        <v>0.2</v>
      </c>
      <c r="F10" s="318"/>
      <c r="G10" s="311">
        <f t="shared" si="0"/>
        <v>0</v>
      </c>
    </row>
    <row r="11" spans="1:7" ht="47.25">
      <c r="A11" s="306"/>
      <c r="B11" s="306"/>
      <c r="C11" s="306"/>
      <c r="D11" s="322" t="s">
        <v>1154</v>
      </c>
      <c r="E11" s="320">
        <v>0.27</v>
      </c>
      <c r="F11" s="321"/>
      <c r="G11" s="307">
        <f t="shared" si="0"/>
        <v>0</v>
      </c>
    </row>
    <row r="12" spans="1:7" s="25" customFormat="1" ht="31.5">
      <c r="A12" s="308"/>
      <c r="B12" s="308"/>
      <c r="C12" s="308"/>
      <c r="D12" s="322" t="s">
        <v>1136</v>
      </c>
      <c r="E12" s="310">
        <v>0.13</v>
      </c>
      <c r="F12" s="323"/>
      <c r="G12" s="286">
        <f t="shared" si="0"/>
        <v>0</v>
      </c>
    </row>
    <row r="13" spans="1:7">
      <c r="A13" s="27"/>
      <c r="B13" s="28" t="s">
        <v>848</v>
      </c>
      <c r="C13" s="328">
        <v>0.09</v>
      </c>
      <c r="D13" s="329"/>
      <c r="E13" s="328">
        <f>SUM(E8:E12)</f>
        <v>1</v>
      </c>
      <c r="F13" s="312" t="s">
        <v>47</v>
      </c>
      <c r="G13" s="312">
        <f>SUM(G8:G12)*C13</f>
        <v>0</v>
      </c>
    </row>
    <row r="14" spans="1:7" s="25" customFormat="1" ht="47.25">
      <c r="A14" s="308">
        <v>3</v>
      </c>
      <c r="B14" s="326" t="s">
        <v>411</v>
      </c>
      <c r="C14" s="310"/>
      <c r="D14" s="322" t="s">
        <v>1155</v>
      </c>
      <c r="E14" s="310">
        <v>0.1</v>
      </c>
      <c r="F14" s="323"/>
      <c r="G14" s="286">
        <f t="shared" si="0"/>
        <v>0</v>
      </c>
    </row>
    <row r="15" spans="1:7" s="302" customFormat="1" ht="63">
      <c r="A15" s="20"/>
      <c r="B15" s="327"/>
      <c r="C15" s="305"/>
      <c r="D15" s="322" t="s">
        <v>1595</v>
      </c>
      <c r="E15" s="305">
        <v>0.19</v>
      </c>
      <c r="F15" s="318"/>
      <c r="G15" s="311">
        <f t="shared" si="0"/>
        <v>0</v>
      </c>
    </row>
    <row r="16" spans="1:7" ht="78.75">
      <c r="A16" s="306"/>
      <c r="B16" s="325"/>
      <c r="C16" s="320"/>
      <c r="D16" s="322" t="s">
        <v>1156</v>
      </c>
      <c r="E16" s="320">
        <v>0.14000000000000001</v>
      </c>
      <c r="F16" s="321"/>
      <c r="G16" s="307">
        <f t="shared" si="0"/>
        <v>0</v>
      </c>
    </row>
    <row r="17" spans="1:7" s="25" customFormat="1" ht="47.25">
      <c r="A17" s="308"/>
      <c r="B17" s="326"/>
      <c r="C17" s="310"/>
      <c r="D17" s="322" t="s">
        <v>1157</v>
      </c>
      <c r="E17" s="310">
        <v>0.24</v>
      </c>
      <c r="F17" s="323"/>
      <c r="G17" s="286">
        <f t="shared" si="0"/>
        <v>0</v>
      </c>
    </row>
    <row r="18" spans="1:7" s="302" customFormat="1" ht="31.5">
      <c r="A18" s="20"/>
      <c r="B18" s="327"/>
      <c r="C18" s="305"/>
      <c r="D18" s="322" t="s">
        <v>1158</v>
      </c>
      <c r="E18" s="305">
        <v>0.14000000000000001</v>
      </c>
      <c r="F18" s="318"/>
      <c r="G18" s="311">
        <f t="shared" si="0"/>
        <v>0</v>
      </c>
    </row>
    <row r="19" spans="1:7" ht="31.5">
      <c r="A19" s="306"/>
      <c r="B19" s="325"/>
      <c r="C19" s="320"/>
      <c r="D19" s="322" t="s">
        <v>1159</v>
      </c>
      <c r="E19" s="320">
        <v>0.19</v>
      </c>
      <c r="F19" s="321"/>
      <c r="G19" s="307">
        <f t="shared" si="0"/>
        <v>0</v>
      </c>
    </row>
    <row r="20" spans="1:7" s="302" customFormat="1">
      <c r="A20" s="316"/>
      <c r="B20" s="324" t="s">
        <v>848</v>
      </c>
      <c r="C20" s="29">
        <v>0.09</v>
      </c>
      <c r="D20" s="45"/>
      <c r="E20" s="29">
        <f>SUM(E14:E19)</f>
        <v>1</v>
      </c>
      <c r="F20" s="27" t="s">
        <v>48</v>
      </c>
      <c r="G20" s="27">
        <f>SUM(G14:G19)*C20</f>
        <v>0</v>
      </c>
    </row>
    <row r="21" spans="1:7" ht="94.5">
      <c r="A21" s="306">
        <v>4</v>
      </c>
      <c r="B21" s="325" t="s">
        <v>412</v>
      </c>
      <c r="C21" s="320"/>
      <c r="D21" s="322" t="s">
        <v>1160</v>
      </c>
      <c r="E21" s="320">
        <v>0.6</v>
      </c>
      <c r="F21" s="321"/>
      <c r="G21" s="307">
        <f t="shared" si="0"/>
        <v>0</v>
      </c>
    </row>
    <row r="22" spans="1:7" s="25" customFormat="1" ht="31.5">
      <c r="A22" s="308"/>
      <c r="B22" s="326"/>
      <c r="C22" s="310"/>
      <c r="D22" s="322" t="s">
        <v>1161</v>
      </c>
      <c r="E22" s="310">
        <v>0.3</v>
      </c>
      <c r="F22" s="323"/>
      <c r="G22" s="286">
        <f t="shared" si="0"/>
        <v>0</v>
      </c>
    </row>
    <row r="23" spans="1:7" s="302" customFormat="1" ht="31.5">
      <c r="A23" s="20"/>
      <c r="B23" s="327"/>
      <c r="C23" s="305"/>
      <c r="D23" s="322" t="s">
        <v>1162</v>
      </c>
      <c r="E23" s="305">
        <v>0.1</v>
      </c>
      <c r="F23" s="318"/>
      <c r="G23" s="311">
        <f t="shared" si="0"/>
        <v>0</v>
      </c>
    </row>
    <row r="24" spans="1:7" s="25" customFormat="1">
      <c r="A24" s="312"/>
      <c r="B24" s="313" t="s">
        <v>848</v>
      </c>
      <c r="C24" s="314">
        <v>0.09</v>
      </c>
      <c r="D24" s="315"/>
      <c r="E24" s="314">
        <f>SUM(E21:E23)</f>
        <v>0.99999999999999989</v>
      </c>
      <c r="F24" s="316" t="s">
        <v>49</v>
      </c>
      <c r="G24" s="316">
        <f>SUM(G21:G23)*C24</f>
        <v>0</v>
      </c>
    </row>
    <row r="25" spans="1:7" s="302" customFormat="1" ht="63">
      <c r="A25" s="20">
        <v>5</v>
      </c>
      <c r="B25" s="304" t="s">
        <v>413</v>
      </c>
      <c r="C25" s="305"/>
      <c r="D25" s="322" t="s">
        <v>1163</v>
      </c>
      <c r="E25" s="305">
        <v>0.4</v>
      </c>
      <c r="F25" s="318"/>
      <c r="G25" s="311">
        <f t="shared" si="0"/>
        <v>0</v>
      </c>
    </row>
    <row r="26" spans="1:7" ht="31.5">
      <c r="A26" s="306"/>
      <c r="B26" s="319"/>
      <c r="C26" s="320"/>
      <c r="D26" s="322" t="s">
        <v>1164</v>
      </c>
      <c r="E26" s="320">
        <v>0.3</v>
      </c>
      <c r="F26" s="321"/>
      <c r="G26" s="307">
        <f t="shared" si="0"/>
        <v>0</v>
      </c>
    </row>
    <row r="27" spans="1:7" s="25" customFormat="1">
      <c r="A27" s="308"/>
      <c r="B27" s="326"/>
      <c r="C27" s="310"/>
      <c r="D27" s="322" t="s">
        <v>1165</v>
      </c>
      <c r="E27" s="310">
        <v>0.1</v>
      </c>
      <c r="F27" s="323"/>
      <c r="G27" s="286">
        <f t="shared" si="0"/>
        <v>0</v>
      </c>
    </row>
    <row r="28" spans="1:7" s="302" customFormat="1" ht="47.25">
      <c r="A28" s="20"/>
      <c r="B28" s="327"/>
      <c r="C28" s="305"/>
      <c r="D28" s="322" t="s">
        <v>1166</v>
      </c>
      <c r="E28" s="305">
        <v>0.2</v>
      </c>
      <c r="F28" s="318"/>
      <c r="G28" s="311">
        <f t="shared" si="0"/>
        <v>0</v>
      </c>
    </row>
    <row r="29" spans="1:7" s="25" customFormat="1">
      <c r="A29" s="312"/>
      <c r="B29" s="313" t="s">
        <v>848</v>
      </c>
      <c r="C29" s="314">
        <v>0.11</v>
      </c>
      <c r="D29" s="315"/>
      <c r="E29" s="314">
        <f>SUM(E25:E28)</f>
        <v>1</v>
      </c>
      <c r="F29" s="316" t="s">
        <v>50</v>
      </c>
      <c r="G29" s="316">
        <f>SUM(G25:G28)*C29</f>
        <v>0</v>
      </c>
    </row>
    <row r="30" spans="1:7" s="302" customFormat="1" ht="78.75">
      <c r="A30" s="20">
        <v>6</v>
      </c>
      <c r="B30" s="304" t="s">
        <v>414</v>
      </c>
      <c r="C30" s="305"/>
      <c r="D30" s="86" t="s">
        <v>1167</v>
      </c>
      <c r="E30" s="305">
        <v>0.4</v>
      </c>
      <c r="F30" s="330"/>
      <c r="G30" s="311">
        <f t="shared" si="0"/>
        <v>0</v>
      </c>
    </row>
    <row r="31" spans="1:7">
      <c r="A31" s="306"/>
      <c r="B31" s="325"/>
      <c r="C31" s="320"/>
      <c r="D31" s="86" t="s">
        <v>1168</v>
      </c>
      <c r="E31" s="320">
        <v>0.2</v>
      </c>
      <c r="F31" s="102"/>
      <c r="G31" s="307">
        <f t="shared" si="0"/>
        <v>0</v>
      </c>
    </row>
    <row r="32" spans="1:7" s="25" customFormat="1" ht="47.25">
      <c r="A32" s="308"/>
      <c r="B32" s="326"/>
      <c r="C32" s="310"/>
      <c r="D32" s="86" t="s">
        <v>1169</v>
      </c>
      <c r="E32" s="310">
        <v>0.1</v>
      </c>
      <c r="F32" s="1"/>
      <c r="G32" s="286">
        <f t="shared" si="0"/>
        <v>0</v>
      </c>
    </row>
    <row r="33" spans="1:8" s="302" customFormat="1" ht="31.5">
      <c r="A33" s="20"/>
      <c r="B33" s="327"/>
      <c r="C33" s="305"/>
      <c r="D33" s="86" t="s">
        <v>1170</v>
      </c>
      <c r="E33" s="305">
        <v>0.3</v>
      </c>
      <c r="F33" s="330"/>
      <c r="G33" s="311">
        <f t="shared" si="0"/>
        <v>0</v>
      </c>
    </row>
    <row r="34" spans="1:8" s="25" customFormat="1">
      <c r="A34" s="312"/>
      <c r="B34" s="313" t="s">
        <v>848</v>
      </c>
      <c r="C34" s="314">
        <v>7.0000000000000007E-2</v>
      </c>
      <c r="D34" s="315"/>
      <c r="E34" s="314">
        <f>SUM(E30:E33)</f>
        <v>1</v>
      </c>
      <c r="F34" s="316" t="s">
        <v>51</v>
      </c>
      <c r="G34" s="316">
        <f>SUM(G30:G33)*C34</f>
        <v>0</v>
      </c>
    </row>
    <row r="35" spans="1:8" s="302" customFormat="1" ht="47.25">
      <c r="A35" s="20">
        <v>7</v>
      </c>
      <c r="B35" s="382" t="s">
        <v>79</v>
      </c>
      <c r="C35" s="305"/>
      <c r="D35" s="86" t="s">
        <v>1086</v>
      </c>
      <c r="E35" s="305">
        <v>0.2</v>
      </c>
      <c r="F35" s="330"/>
      <c r="G35" s="311">
        <f t="shared" si="0"/>
        <v>0</v>
      </c>
    </row>
    <row r="36" spans="1:8" ht="47.25">
      <c r="A36" s="306"/>
      <c r="B36" s="319"/>
      <c r="C36" s="320"/>
      <c r="D36" s="86" t="s">
        <v>1171</v>
      </c>
      <c r="E36" s="320">
        <v>0.3</v>
      </c>
      <c r="F36" s="102"/>
      <c r="G36" s="307">
        <f t="shared" si="0"/>
        <v>0</v>
      </c>
    </row>
    <row r="37" spans="1:8" s="25" customFormat="1" ht="31.5">
      <c r="A37" s="308"/>
      <c r="B37" s="309"/>
      <c r="C37" s="310"/>
      <c r="D37" s="86" t="s">
        <v>1088</v>
      </c>
      <c r="E37" s="310">
        <v>0.4</v>
      </c>
      <c r="F37" s="1"/>
      <c r="G37" s="286">
        <f t="shared" si="0"/>
        <v>0</v>
      </c>
    </row>
    <row r="38" spans="1:8" s="302" customFormat="1" ht="47.25">
      <c r="A38" s="20"/>
      <c r="B38" s="304"/>
      <c r="C38" s="305"/>
      <c r="D38" s="86" t="s">
        <v>1089</v>
      </c>
      <c r="E38" s="305">
        <v>0.1</v>
      </c>
      <c r="F38" s="330"/>
      <c r="G38" s="311">
        <f t="shared" si="0"/>
        <v>0</v>
      </c>
      <c r="H38" s="334"/>
    </row>
    <row r="39" spans="1:8" s="25" customFormat="1">
      <c r="A39" s="312"/>
      <c r="B39" s="313" t="s">
        <v>848</v>
      </c>
      <c r="C39" s="314">
        <v>0.16</v>
      </c>
      <c r="D39" s="315"/>
      <c r="E39" s="314">
        <f>SUM(E35:E38)</f>
        <v>1</v>
      </c>
      <c r="F39" s="316" t="s">
        <v>52</v>
      </c>
      <c r="G39" s="316">
        <f>SUM(G35:G38)*C39</f>
        <v>0</v>
      </c>
      <c r="H39" s="332"/>
    </row>
    <row r="40" spans="1:8" s="302" customFormat="1" ht="63">
      <c r="A40" s="20">
        <v>8</v>
      </c>
      <c r="B40" s="382" t="s">
        <v>72</v>
      </c>
      <c r="C40" s="383"/>
      <c r="D40" s="384" t="s">
        <v>1172</v>
      </c>
      <c r="E40" s="305">
        <v>0.5</v>
      </c>
      <c r="F40" s="318"/>
      <c r="G40" s="311">
        <f t="shared" si="0"/>
        <v>0</v>
      </c>
      <c r="H40" s="334"/>
    </row>
    <row r="41" spans="1:8" ht="47.25">
      <c r="A41" s="306"/>
      <c r="B41" s="382"/>
      <c r="C41" s="383"/>
      <c r="D41" s="384" t="s">
        <v>1173</v>
      </c>
      <c r="E41" s="320">
        <v>0.33</v>
      </c>
      <c r="F41" s="321"/>
      <c r="G41" s="307">
        <f t="shared" si="0"/>
        <v>0</v>
      </c>
      <c r="H41" s="333"/>
    </row>
    <row r="42" spans="1:8" s="25" customFormat="1" ht="63">
      <c r="A42" s="308"/>
      <c r="B42" s="382"/>
      <c r="C42" s="383"/>
      <c r="D42" s="384" t="s">
        <v>415</v>
      </c>
      <c r="E42" s="310">
        <v>0.17</v>
      </c>
      <c r="F42" s="323"/>
      <c r="G42" s="286">
        <f t="shared" si="0"/>
        <v>0</v>
      </c>
      <c r="H42" s="332"/>
    </row>
    <row r="43" spans="1:8">
      <c r="A43" s="27"/>
      <c r="B43" s="28" t="s">
        <v>848</v>
      </c>
      <c r="C43" s="328">
        <v>0.15</v>
      </c>
      <c r="D43" s="329"/>
      <c r="E43" s="328">
        <f>SUM(E40:E42)</f>
        <v>1</v>
      </c>
      <c r="F43" s="312" t="s">
        <v>53</v>
      </c>
      <c r="G43" s="312">
        <f>SUM(G40:G42)*C43</f>
        <v>0</v>
      </c>
      <c r="H43" s="333"/>
    </row>
    <row r="44" spans="1:8" s="25" customFormat="1" ht="47.25">
      <c r="A44" s="308">
        <v>9</v>
      </c>
      <c r="B44" s="309" t="s">
        <v>418</v>
      </c>
      <c r="C44" s="310"/>
      <c r="D44" s="322" t="s">
        <v>1099</v>
      </c>
      <c r="E44" s="310">
        <v>0.13</v>
      </c>
      <c r="F44" s="323"/>
      <c r="G44" s="286">
        <f t="shared" si="0"/>
        <v>0</v>
      </c>
      <c r="H44" s="332"/>
    </row>
    <row r="45" spans="1:8" s="302" customFormat="1" ht="47.25">
      <c r="A45" s="20"/>
      <c r="B45" s="304"/>
      <c r="C45" s="305"/>
      <c r="D45" s="317" t="s">
        <v>416</v>
      </c>
      <c r="E45" s="305">
        <v>0.09</v>
      </c>
      <c r="F45" s="318"/>
      <c r="G45" s="311">
        <f t="shared" si="0"/>
        <v>0</v>
      </c>
      <c r="H45" s="334"/>
    </row>
    <row r="46" spans="1:8" s="25" customFormat="1" ht="47.25">
      <c r="A46" s="306"/>
      <c r="B46" s="319"/>
      <c r="C46" s="320"/>
      <c r="D46" s="384" t="s">
        <v>1174</v>
      </c>
      <c r="E46" s="310">
        <v>0.23</v>
      </c>
      <c r="F46" s="323"/>
      <c r="G46" s="286">
        <f t="shared" si="0"/>
        <v>0</v>
      </c>
      <c r="H46" s="332"/>
    </row>
    <row r="47" spans="1:8" s="25" customFormat="1" ht="63">
      <c r="A47" s="20"/>
      <c r="B47" s="304"/>
      <c r="C47" s="305"/>
      <c r="D47" s="384" t="s">
        <v>1175</v>
      </c>
      <c r="E47" s="310">
        <v>0.23</v>
      </c>
      <c r="F47" s="323"/>
      <c r="G47" s="286">
        <f t="shared" si="0"/>
        <v>0</v>
      </c>
      <c r="H47" s="332"/>
    </row>
    <row r="48" spans="1:8" s="25" customFormat="1" ht="47.25">
      <c r="A48" s="20"/>
      <c r="B48" s="304"/>
      <c r="C48" s="305"/>
      <c r="D48" s="384" t="s">
        <v>1176</v>
      </c>
      <c r="E48" s="310">
        <v>0.23</v>
      </c>
      <c r="F48" s="323"/>
      <c r="G48" s="286">
        <f t="shared" si="0"/>
        <v>0</v>
      </c>
    </row>
    <row r="49" spans="1:7" s="302" customFormat="1" ht="94.5">
      <c r="A49" s="20"/>
      <c r="B49" s="304"/>
      <c r="C49" s="305"/>
      <c r="D49" s="322" t="s">
        <v>1101</v>
      </c>
      <c r="E49" s="305">
        <v>0.09</v>
      </c>
      <c r="F49" s="318"/>
      <c r="G49" s="311">
        <f t="shared" si="0"/>
        <v>0</v>
      </c>
    </row>
    <row r="50" spans="1:7" s="25" customFormat="1">
      <c r="A50" s="312"/>
      <c r="B50" s="313" t="s">
        <v>848</v>
      </c>
      <c r="C50" s="314">
        <v>0.18</v>
      </c>
      <c r="D50" s="315"/>
      <c r="E50" s="314">
        <f>SUM(E44:E49)</f>
        <v>1</v>
      </c>
      <c r="F50" s="316" t="s">
        <v>54</v>
      </c>
      <c r="G50" s="316">
        <f>SUM(G44:G49)*C50</f>
        <v>0</v>
      </c>
    </row>
    <row r="51" spans="1:7" s="302" customFormat="1" ht="63">
      <c r="A51" s="20">
        <v>10</v>
      </c>
      <c r="B51" s="304" t="s">
        <v>78</v>
      </c>
      <c r="C51" s="305"/>
      <c r="D51" s="86" t="s">
        <v>1079</v>
      </c>
      <c r="E51" s="305">
        <v>0.33</v>
      </c>
      <c r="F51" s="330"/>
      <c r="G51" s="311">
        <f t="shared" si="0"/>
        <v>0</v>
      </c>
    </row>
    <row r="52" spans="1:7" ht="252">
      <c r="A52" s="306"/>
      <c r="B52" s="319"/>
      <c r="C52" s="320"/>
      <c r="D52" s="331" t="s">
        <v>417</v>
      </c>
      <c r="E52" s="320">
        <v>0.67</v>
      </c>
      <c r="F52" s="102"/>
      <c r="G52" s="307">
        <f t="shared" si="0"/>
        <v>0</v>
      </c>
    </row>
    <row r="53" spans="1:7" s="302" customFormat="1">
      <c r="A53" s="316"/>
      <c r="B53" s="324" t="s">
        <v>848</v>
      </c>
      <c r="C53" s="29">
        <v>0.02</v>
      </c>
      <c r="D53" s="45"/>
      <c r="E53" s="29">
        <v>1</v>
      </c>
      <c r="F53" s="27" t="s">
        <v>55</v>
      </c>
      <c r="G53" s="27">
        <f>SUM(G51:G52)*C53</f>
        <v>0</v>
      </c>
    </row>
    <row r="54" spans="1:7" s="302" customFormat="1">
      <c r="A54" s="335"/>
      <c r="B54" s="336" t="s">
        <v>443</v>
      </c>
      <c r="C54" s="337">
        <f>SUBTOTAL(9,C7,C13,C20,C24,C29,C34,C39,C43,C50,C53)</f>
        <v>1</v>
      </c>
      <c r="D54" s="338"/>
      <c r="E54" s="39">
        <v>10</v>
      </c>
      <c r="F54" s="38"/>
      <c r="G54" s="246">
        <f>SUBTOTAL(9,G7,G13,G20,G24,G29,G34,G39,G43,G50,G53)</f>
        <v>0</v>
      </c>
    </row>
    <row r="55" spans="1:7" s="25" customFormat="1">
      <c r="A55" s="339"/>
      <c r="B55" s="339" t="s">
        <v>444</v>
      </c>
      <c r="C55" s="19"/>
      <c r="D55" s="19"/>
      <c r="E55" s="51"/>
      <c r="F55" s="340"/>
      <c r="G55" s="341" t="str">
        <f>IF(G54&lt;=0.5,"низький",IF(G54&lt;=0.75,"середній",(IF(G54&lt;=0.95,"достатній",(IF(G54&lt;=1,"високий"))))))</f>
        <v>низький</v>
      </c>
    </row>
    <row r="56" spans="1:7" s="302" customFormat="1">
      <c r="A56" s="288" t="s">
        <v>182</v>
      </c>
      <c r="B56" s="289"/>
      <c r="C56" s="342"/>
      <c r="E56" s="343"/>
      <c r="F56" s="344"/>
      <c r="G56" s="112"/>
    </row>
    <row r="57" spans="1:7" s="302" customFormat="1" ht="17.25">
      <c r="A57" s="345" t="s">
        <v>589</v>
      </c>
      <c r="B57" s="346"/>
      <c r="C57" s="347"/>
      <c r="D57" s="303"/>
      <c r="E57" s="348"/>
      <c r="F57" s="349"/>
      <c r="G57" s="112"/>
    </row>
    <row r="58" spans="1:7" s="302" customFormat="1" ht="17.25">
      <c r="A58" s="345" t="s">
        <v>590</v>
      </c>
      <c r="B58" s="346"/>
      <c r="C58" s="347"/>
      <c r="D58" s="303"/>
      <c r="E58" s="348"/>
      <c r="F58" s="349"/>
      <c r="G58" s="112"/>
    </row>
    <row r="59" spans="1:7" s="302" customFormat="1" ht="17.25">
      <c r="A59" s="345" t="s">
        <v>591</v>
      </c>
      <c r="B59" s="346"/>
      <c r="C59" s="347"/>
      <c r="D59" s="303"/>
      <c r="E59" s="348"/>
      <c r="F59" s="349"/>
      <c r="G59" s="112"/>
    </row>
    <row r="60" spans="1:7" s="302" customFormat="1" ht="17.25">
      <c r="A60" s="345" t="s">
        <v>592</v>
      </c>
      <c r="B60" s="346"/>
      <c r="C60" s="347"/>
      <c r="D60" s="303"/>
      <c r="E60" s="348"/>
      <c r="F60" s="349"/>
      <c r="G60" s="112"/>
    </row>
    <row r="61" spans="1:7" s="302" customFormat="1" ht="17.25">
      <c r="A61" s="345" t="s">
        <v>593</v>
      </c>
      <c r="B61" s="346"/>
      <c r="C61" s="347"/>
      <c r="D61" s="303"/>
      <c r="E61" s="348"/>
      <c r="F61" s="349"/>
      <c r="G61" s="112"/>
    </row>
    <row r="62" spans="1:7" s="302" customFormat="1" ht="17.25">
      <c r="A62" s="345" t="s">
        <v>594</v>
      </c>
      <c r="B62" s="346"/>
      <c r="C62" s="347"/>
      <c r="D62" s="303"/>
      <c r="E62" s="348"/>
      <c r="F62" s="349"/>
      <c r="G62" s="112"/>
    </row>
    <row r="63" spans="1:7" s="302" customFormat="1" ht="17.25">
      <c r="A63" s="345" t="s">
        <v>595</v>
      </c>
      <c r="B63" s="346"/>
      <c r="C63" s="347"/>
      <c r="D63" s="303"/>
      <c r="E63" s="348"/>
      <c r="F63" s="349"/>
      <c r="G63" s="112"/>
    </row>
    <row r="64" spans="1:7" s="302" customFormat="1">
      <c r="A64" s="350" t="s">
        <v>596</v>
      </c>
      <c r="B64" s="346"/>
      <c r="C64" s="347"/>
      <c r="D64" s="303"/>
      <c r="E64" s="348"/>
      <c r="F64" s="349"/>
      <c r="G64" s="112"/>
    </row>
    <row r="65" spans="1:7" s="302" customFormat="1">
      <c r="A65" s="345" t="s">
        <v>597</v>
      </c>
      <c r="B65" s="346"/>
      <c r="C65" s="347"/>
      <c r="D65" s="303"/>
      <c r="E65" s="348"/>
      <c r="F65" s="349"/>
      <c r="G65" s="112"/>
    </row>
    <row r="66" spans="1:7" s="302" customFormat="1">
      <c r="A66" s="288" t="s">
        <v>792</v>
      </c>
      <c r="B66" s="346"/>
      <c r="C66" s="347"/>
      <c r="D66" s="303"/>
      <c r="E66" s="348"/>
      <c r="F66" s="349"/>
      <c r="G66" s="112"/>
    </row>
    <row r="67" spans="1:7" s="302" customFormat="1">
      <c r="A67" s="288" t="s">
        <v>793</v>
      </c>
      <c r="B67" s="346"/>
      <c r="C67" s="347"/>
      <c r="D67" s="303"/>
      <c r="E67" s="348"/>
      <c r="F67" s="349"/>
      <c r="G67" s="112"/>
    </row>
    <row r="68" spans="1:7" s="302" customFormat="1">
      <c r="A68" s="288" t="s">
        <v>794</v>
      </c>
      <c r="B68" s="346"/>
      <c r="C68" s="347"/>
      <c r="D68" s="303"/>
      <c r="E68" s="348"/>
      <c r="F68" s="349"/>
      <c r="G68" s="112"/>
    </row>
    <row r="69" spans="1:7" s="302" customFormat="1">
      <c r="A69" s="342"/>
      <c r="B69" s="342" t="s">
        <v>20</v>
      </c>
      <c r="C69" s="342"/>
      <c r="D69" s="342"/>
      <c r="E69" s="342"/>
      <c r="F69" s="342"/>
      <c r="G69" s="342"/>
    </row>
    <row r="70" spans="1:7" s="302" customFormat="1">
      <c r="A70" s="351"/>
      <c r="B70" s="351"/>
      <c r="C70" s="351"/>
      <c r="D70" s="351"/>
      <c r="E70" s="351"/>
      <c r="F70" s="351"/>
      <c r="G70" s="351"/>
    </row>
    <row r="71" spans="1:7" s="302" customFormat="1">
      <c r="A71" s="351"/>
      <c r="B71" s="351"/>
      <c r="C71" s="351"/>
      <c r="D71" s="351"/>
      <c r="E71" s="351"/>
      <c r="F71" s="351"/>
      <c r="G71" s="351"/>
    </row>
    <row r="72" spans="1:7" s="302" customFormat="1">
      <c r="A72" s="351"/>
      <c r="B72" s="351"/>
      <c r="C72" s="351"/>
      <c r="D72" s="351"/>
      <c r="E72" s="351"/>
      <c r="F72" s="351"/>
      <c r="G72" s="351"/>
    </row>
    <row r="73" spans="1:7" s="302" customFormat="1">
      <c r="A73" s="351"/>
      <c r="B73" s="351"/>
      <c r="C73" s="351"/>
      <c r="D73" s="351"/>
      <c r="E73" s="351"/>
      <c r="F73" s="351"/>
      <c r="G73" s="351"/>
    </row>
    <row r="74" spans="1:7" s="302" customFormat="1">
      <c r="A74" s="351"/>
      <c r="B74" s="351"/>
      <c r="C74" s="351"/>
      <c r="D74" s="351"/>
      <c r="E74" s="351"/>
      <c r="F74" s="351"/>
      <c r="G74" s="351"/>
    </row>
    <row r="75" spans="1:7" s="302" customFormat="1">
      <c r="A75" s="351"/>
      <c r="B75" s="351"/>
      <c r="C75" s="351"/>
      <c r="D75" s="351"/>
      <c r="E75" s="351"/>
      <c r="F75" s="351"/>
      <c r="G75" s="351"/>
    </row>
    <row r="76" spans="1:7" s="302" customFormat="1">
      <c r="A76" s="351"/>
      <c r="B76" s="351"/>
      <c r="C76" s="351"/>
      <c r="D76" s="351"/>
      <c r="E76" s="351"/>
      <c r="F76" s="351"/>
      <c r="G76" s="351"/>
    </row>
    <row r="77" spans="1:7" s="302" customFormat="1">
      <c r="A77" s="351"/>
      <c r="B77" s="351"/>
      <c r="C77" s="351"/>
      <c r="D77" s="351"/>
      <c r="E77" s="351"/>
      <c r="F77" s="351"/>
      <c r="G77" s="351"/>
    </row>
    <row r="78" spans="1:7" s="302" customFormat="1">
      <c r="A78" s="351"/>
      <c r="B78" s="351"/>
      <c r="C78" s="351"/>
      <c r="D78" s="351"/>
      <c r="E78" s="351"/>
      <c r="F78" s="351"/>
      <c r="G78" s="351"/>
    </row>
    <row r="79" spans="1:7" s="302" customFormat="1">
      <c r="A79" s="351"/>
      <c r="B79" s="351"/>
      <c r="C79" s="351"/>
      <c r="D79" s="351"/>
      <c r="E79" s="351"/>
      <c r="F79" s="351"/>
      <c r="G79" s="351"/>
    </row>
    <row r="80" spans="1:7" s="302" customFormat="1">
      <c r="A80" s="351"/>
      <c r="B80" s="351"/>
      <c r="C80" s="351"/>
      <c r="D80" s="351"/>
      <c r="E80" s="351"/>
      <c r="F80" s="351"/>
      <c r="G80" s="351"/>
    </row>
    <row r="81" spans="1:7" s="302" customFormat="1">
      <c r="A81" s="351"/>
      <c r="B81" s="351"/>
      <c r="C81" s="351"/>
      <c r="D81" s="351"/>
      <c r="E81" s="351"/>
      <c r="F81" s="351"/>
      <c r="G81" s="351"/>
    </row>
    <row r="82" spans="1:7" s="302" customFormat="1">
      <c r="A82" s="351"/>
      <c r="B82" s="351"/>
      <c r="C82" s="351"/>
      <c r="D82" s="351"/>
      <c r="E82" s="351"/>
      <c r="F82" s="351"/>
      <c r="G82" s="351"/>
    </row>
    <row r="83" spans="1:7" s="302" customFormat="1">
      <c r="A83" s="351"/>
      <c r="B83" s="351"/>
      <c r="C83" s="351"/>
      <c r="D83" s="351"/>
      <c r="E83" s="351"/>
      <c r="F83" s="351"/>
      <c r="G83" s="351"/>
    </row>
    <row r="84" spans="1:7" s="302" customFormat="1">
      <c r="A84" s="342"/>
      <c r="B84" s="352" t="s">
        <v>2418</v>
      </c>
      <c r="C84" s="352"/>
      <c r="D84" s="352"/>
      <c r="E84" s="352"/>
      <c r="F84" s="352"/>
      <c r="G84" s="352"/>
    </row>
    <row r="85" spans="1:7" s="302" customFormat="1">
      <c r="A85" s="342"/>
      <c r="B85" s="353"/>
      <c r="C85" s="353"/>
      <c r="D85" s="353"/>
      <c r="E85" s="353"/>
      <c r="F85" s="353"/>
      <c r="G85" s="353"/>
    </row>
    <row r="86" spans="1:7" s="302" customFormat="1">
      <c r="A86" s="342"/>
      <c r="B86" s="352" t="s">
        <v>22</v>
      </c>
      <c r="C86" s="352"/>
      <c r="D86" s="352"/>
      <c r="E86" s="352"/>
      <c r="F86" s="352"/>
      <c r="G86" s="352"/>
    </row>
    <row r="87" spans="1:7" s="302" customFormat="1">
      <c r="A87" s="342"/>
      <c r="B87" s="353"/>
      <c r="C87" s="353"/>
      <c r="D87" s="353"/>
      <c r="E87" s="353"/>
      <c r="F87" s="353"/>
      <c r="G87" s="353"/>
    </row>
    <row r="88" spans="1:7" s="302" customFormat="1">
      <c r="A88" s="342"/>
      <c r="B88" s="352" t="s">
        <v>23</v>
      </c>
      <c r="C88" s="352"/>
      <c r="D88" s="352"/>
      <c r="E88" s="352"/>
      <c r="F88" s="352"/>
      <c r="G88" s="352"/>
    </row>
    <row r="89" spans="1:7" s="302" customFormat="1">
      <c r="A89" s="342"/>
      <c r="B89" s="352" t="s">
        <v>24</v>
      </c>
      <c r="C89" s="352"/>
      <c r="D89" s="352"/>
      <c r="E89" s="352"/>
      <c r="F89" s="352"/>
      <c r="G89" s="352"/>
    </row>
    <row r="91" spans="1:7" s="101" customFormat="1">
      <c r="A91" s="290"/>
      <c r="B91" s="289"/>
      <c r="C91" s="63"/>
      <c r="E91" s="63"/>
    </row>
    <row r="92" spans="1:7" s="101" customFormat="1">
      <c r="A92" s="290"/>
      <c r="B92" s="289"/>
      <c r="C92" s="63"/>
      <c r="E92" s="63"/>
    </row>
    <row r="93" spans="1:7" s="101" customFormat="1">
      <c r="A93" s="290"/>
      <c r="B93" s="289"/>
      <c r="C93" s="63"/>
      <c r="E93" s="63"/>
    </row>
  </sheetData>
  <autoFilter ref="A4:G69"/>
  <mergeCells count="2">
    <mergeCell ref="A1:G1"/>
    <mergeCell ref="A2:G2"/>
  </mergeCells>
  <phoneticPr fontId="4" type="noConversion"/>
  <pageMargins left="0.7" right="0.7" top="0.75" bottom="0.75" header="0.3" footer="0.3"/>
  <pageSetup paperSize="9" scale="67" orientation="portrait" r:id="rId1"/>
</worksheet>
</file>

<file path=xl/worksheets/sheet20.xml><?xml version="1.0" encoding="utf-8"?>
<worksheet xmlns="http://schemas.openxmlformats.org/spreadsheetml/2006/main" xmlns:r="http://schemas.openxmlformats.org/officeDocument/2006/relationships">
  <dimension ref="A1:H61"/>
  <sheetViews>
    <sheetView workbookViewId="0">
      <selection activeCell="G23" sqref="G23"/>
    </sheetView>
  </sheetViews>
  <sheetFormatPr defaultRowHeight="15.75"/>
  <cols>
    <col min="1" max="1" width="9.140625" style="54"/>
    <col min="2" max="2" width="30" style="54" customWidth="1"/>
    <col min="3" max="3" width="14.5703125" style="68" customWidth="1"/>
    <col min="4" max="4" width="44.5703125" style="54" customWidth="1"/>
    <col min="5" max="6" width="14.28515625" style="66" customWidth="1"/>
    <col min="7" max="7" width="17.28515625" style="66" customWidth="1"/>
    <col min="8" max="8" width="9.140625" style="111"/>
    <col min="9" max="16384" width="9.140625" style="54"/>
  </cols>
  <sheetData>
    <row r="1" spans="1:7" ht="45.75" customHeight="1">
      <c r="A1" s="1268" t="s">
        <v>987</v>
      </c>
      <c r="B1" s="1257"/>
      <c r="C1" s="1257"/>
      <c r="D1" s="1257"/>
      <c r="E1" s="1257"/>
      <c r="F1" s="1257"/>
      <c r="G1" s="1257"/>
    </row>
    <row r="2" spans="1:7" ht="45.75" customHeight="1">
      <c r="A2" s="54" t="s">
        <v>183</v>
      </c>
      <c r="B2" s="99"/>
      <c r="C2" s="99"/>
      <c r="D2" s="99"/>
      <c r="E2" s="99"/>
      <c r="F2" s="99"/>
      <c r="G2" s="99"/>
    </row>
    <row r="3" spans="1:7" ht="45" customHeight="1">
      <c r="A3" s="54" t="s">
        <v>632</v>
      </c>
    </row>
    <row r="4" spans="1:7" ht="47.25">
      <c r="A4" s="5" t="s">
        <v>434</v>
      </c>
      <c r="B4" s="5" t="s">
        <v>338</v>
      </c>
      <c r="C4" s="5" t="s">
        <v>771</v>
      </c>
      <c r="D4" s="5" t="s">
        <v>333</v>
      </c>
      <c r="E4" s="5" t="s">
        <v>337</v>
      </c>
      <c r="F4" s="5" t="s">
        <v>770</v>
      </c>
      <c r="G4" s="5" t="s">
        <v>82</v>
      </c>
    </row>
    <row r="5" spans="1:7" ht="95.25" customHeight="1">
      <c r="A5" s="1265" t="s">
        <v>634</v>
      </c>
      <c r="B5" s="1266" t="s">
        <v>635</v>
      </c>
      <c r="C5" s="1265">
        <v>0.19</v>
      </c>
      <c r="D5" s="73" t="s">
        <v>184</v>
      </c>
      <c r="E5" s="129">
        <v>0.4</v>
      </c>
      <c r="F5" s="130"/>
      <c r="G5" s="129">
        <f>E5*F5</f>
        <v>0</v>
      </c>
    </row>
    <row r="6" spans="1:7" ht="51" customHeight="1">
      <c r="A6" s="1265"/>
      <c r="B6" s="1266"/>
      <c r="C6" s="1265"/>
      <c r="D6" s="73" t="s">
        <v>357</v>
      </c>
      <c r="E6" s="129">
        <v>0.1</v>
      </c>
      <c r="F6" s="130"/>
      <c r="G6" s="129">
        <f t="shared" ref="G6:G20" si="0">E6*F6</f>
        <v>0</v>
      </c>
    </row>
    <row r="7" spans="1:7" ht="78.75">
      <c r="A7" s="1265"/>
      <c r="B7" s="1266"/>
      <c r="C7" s="1265"/>
      <c r="D7" s="73" t="s">
        <v>988</v>
      </c>
      <c r="E7" s="129">
        <v>0.3</v>
      </c>
      <c r="F7" s="130"/>
      <c r="G7" s="129">
        <f t="shared" si="0"/>
        <v>0</v>
      </c>
    </row>
    <row r="8" spans="1:7" ht="94.5">
      <c r="A8" s="1265"/>
      <c r="B8" s="1266"/>
      <c r="C8" s="1265"/>
      <c r="D8" s="73" t="s">
        <v>989</v>
      </c>
      <c r="E8" s="129">
        <v>0.2</v>
      </c>
      <c r="F8" s="130"/>
      <c r="G8" s="129">
        <f t="shared" si="0"/>
        <v>0</v>
      </c>
    </row>
    <row r="9" spans="1:7">
      <c r="A9" s="74"/>
      <c r="B9" s="75"/>
      <c r="C9" s="74"/>
      <c r="D9" s="76"/>
      <c r="E9" s="129">
        <f>SUM(E5:E8)</f>
        <v>1</v>
      </c>
      <c r="F9" s="129"/>
      <c r="G9" s="129">
        <f>C5*SUM(G5:G8)</f>
        <v>0</v>
      </c>
    </row>
    <row r="10" spans="1:7" ht="157.5">
      <c r="A10" s="1265" t="s">
        <v>637</v>
      </c>
      <c r="B10" s="1266" t="s">
        <v>185</v>
      </c>
      <c r="C10" s="1265">
        <v>0.27</v>
      </c>
      <c r="D10" s="73" t="s">
        <v>990</v>
      </c>
      <c r="E10" s="129">
        <v>0.5</v>
      </c>
      <c r="F10" s="130"/>
      <c r="G10" s="129">
        <f t="shared" si="0"/>
        <v>0</v>
      </c>
    </row>
    <row r="11" spans="1:7" ht="220.5">
      <c r="A11" s="1265"/>
      <c r="B11" s="1266"/>
      <c r="C11" s="1265"/>
      <c r="D11" s="73" t="s">
        <v>991</v>
      </c>
      <c r="E11" s="129">
        <v>0.5</v>
      </c>
      <c r="F11" s="130"/>
      <c r="G11" s="129">
        <f t="shared" si="0"/>
        <v>0</v>
      </c>
    </row>
    <row r="12" spans="1:7">
      <c r="A12" s="74"/>
      <c r="B12" s="75"/>
      <c r="C12" s="74"/>
      <c r="D12" s="76"/>
      <c r="E12" s="129">
        <f>SUM(E10:E11)</f>
        <v>1</v>
      </c>
      <c r="F12" s="129"/>
      <c r="G12" s="129">
        <f>C10*SUM(G10:G11)</f>
        <v>0</v>
      </c>
    </row>
    <row r="13" spans="1:7" ht="63">
      <c r="A13" s="1265" t="s">
        <v>147</v>
      </c>
      <c r="B13" s="1266" t="s">
        <v>186</v>
      </c>
      <c r="C13" s="1265">
        <v>0.36</v>
      </c>
      <c r="D13" s="73" t="s">
        <v>992</v>
      </c>
      <c r="E13" s="129">
        <v>0.33</v>
      </c>
      <c r="F13" s="130"/>
      <c r="G13" s="129">
        <f t="shared" si="0"/>
        <v>0</v>
      </c>
    </row>
    <row r="14" spans="1:7" ht="47.25">
      <c r="A14" s="1265"/>
      <c r="B14" s="1266"/>
      <c r="C14" s="1265"/>
      <c r="D14" s="73" t="s">
        <v>993</v>
      </c>
      <c r="E14" s="129">
        <v>0.2</v>
      </c>
      <c r="F14" s="130"/>
      <c r="G14" s="129">
        <f t="shared" si="0"/>
        <v>0</v>
      </c>
    </row>
    <row r="15" spans="1:7" ht="78.75">
      <c r="A15" s="1265"/>
      <c r="B15" s="1266"/>
      <c r="C15" s="1265"/>
      <c r="D15" s="73" t="s">
        <v>994</v>
      </c>
      <c r="E15" s="129">
        <v>0.14000000000000001</v>
      </c>
      <c r="F15" s="130"/>
      <c r="G15" s="129">
        <f t="shared" si="0"/>
        <v>0</v>
      </c>
    </row>
    <row r="16" spans="1:7" ht="78.75">
      <c r="A16" s="1265"/>
      <c r="B16" s="1266"/>
      <c r="C16" s="1265"/>
      <c r="D16" s="73" t="s">
        <v>995</v>
      </c>
      <c r="E16" s="129">
        <v>7.0000000000000007E-2</v>
      </c>
      <c r="F16" s="130"/>
      <c r="G16" s="129">
        <f t="shared" si="0"/>
        <v>0</v>
      </c>
    </row>
    <row r="17" spans="1:7" ht="31.5">
      <c r="A17" s="1265"/>
      <c r="B17" s="1266"/>
      <c r="C17" s="1265"/>
      <c r="D17" s="73" t="s">
        <v>187</v>
      </c>
      <c r="E17" s="129">
        <v>0.26</v>
      </c>
      <c r="F17" s="130"/>
      <c r="G17" s="129">
        <f t="shared" si="0"/>
        <v>0</v>
      </c>
    </row>
    <row r="18" spans="1:7">
      <c r="A18" s="74"/>
      <c r="B18" s="75"/>
      <c r="C18" s="74"/>
      <c r="D18" s="76"/>
      <c r="E18" s="129">
        <f>SUM(E13:E17)</f>
        <v>1</v>
      </c>
      <c r="F18" s="129"/>
      <c r="G18" s="129">
        <f>C13*SUM(G13:G17)</f>
        <v>0</v>
      </c>
    </row>
    <row r="19" spans="1:7" ht="47.25">
      <c r="A19" s="1265" t="s">
        <v>156</v>
      </c>
      <c r="B19" s="1266" t="s">
        <v>188</v>
      </c>
      <c r="C19" s="1267">
        <v>0.18</v>
      </c>
      <c r="D19" s="73" t="s">
        <v>996</v>
      </c>
      <c r="E19" s="129">
        <v>0.5</v>
      </c>
      <c r="F19" s="130"/>
      <c r="G19" s="129">
        <f t="shared" si="0"/>
        <v>0</v>
      </c>
    </row>
    <row r="20" spans="1:7" ht="31.5">
      <c r="A20" s="1265"/>
      <c r="B20" s="1266"/>
      <c r="C20" s="1267"/>
      <c r="D20" s="73" t="s">
        <v>189</v>
      </c>
      <c r="E20" s="129">
        <v>0.5</v>
      </c>
      <c r="F20" s="130"/>
      <c r="G20" s="129">
        <f t="shared" si="0"/>
        <v>0</v>
      </c>
    </row>
    <row r="21" spans="1:7" ht="21.75" customHeight="1">
      <c r="A21" s="129"/>
      <c r="B21" s="129"/>
      <c r="C21" s="129"/>
      <c r="D21" s="129"/>
      <c r="E21" s="129">
        <f>SUM(E19:E20)</f>
        <v>1</v>
      </c>
      <c r="F21" s="129"/>
      <c r="G21" s="129">
        <f>C19*SUM(G19:G20)</f>
        <v>0</v>
      </c>
    </row>
    <row r="22" spans="1:7" ht="22.5" customHeight="1">
      <c r="A22" s="1260" t="s">
        <v>443</v>
      </c>
      <c r="B22" s="1261"/>
      <c r="C22" s="131">
        <f>C5+C10+C13+C19</f>
        <v>1</v>
      </c>
      <c r="D22" s="131"/>
      <c r="E22" s="131"/>
      <c r="F22" s="131"/>
      <c r="G22" s="131">
        <f>G9+G12+G18+G21</f>
        <v>0</v>
      </c>
    </row>
    <row r="23" spans="1:7" ht="18.75" customHeight="1">
      <c r="A23" s="1262" t="s">
        <v>444</v>
      </c>
      <c r="B23" s="1263"/>
      <c r="C23" s="1263"/>
      <c r="D23" s="1263"/>
      <c r="E23" s="1263"/>
      <c r="F23" s="1264"/>
      <c r="G23" s="132" t="str">
        <f>IF(G22&lt;=0.5,"низький",IF(G22&lt;=0.75,"середній",(IF(G22&lt;=0.95,"достатній",(IF(G22&lt;=1,"високий"))))))</f>
        <v>низький</v>
      </c>
    </row>
    <row r="24" spans="1:7" s="302" customFormat="1">
      <c r="A24" s="288" t="s">
        <v>182</v>
      </c>
      <c r="B24" s="289"/>
      <c r="C24" s="342"/>
      <c r="E24" s="343"/>
      <c r="F24" s="344"/>
      <c r="G24" s="112"/>
    </row>
    <row r="25" spans="1:7" s="302" customFormat="1" ht="17.25">
      <c r="A25" s="345" t="s">
        <v>589</v>
      </c>
      <c r="B25" s="346"/>
      <c r="C25" s="347"/>
      <c r="D25" s="303"/>
      <c r="E25" s="348"/>
      <c r="F25" s="349"/>
      <c r="G25" s="112"/>
    </row>
    <row r="26" spans="1:7" s="302" customFormat="1" ht="17.25">
      <c r="A26" s="345" t="s">
        <v>590</v>
      </c>
      <c r="B26" s="346"/>
      <c r="C26" s="347"/>
      <c r="D26" s="303"/>
      <c r="E26" s="348"/>
      <c r="F26" s="349"/>
      <c r="G26" s="112"/>
    </row>
    <row r="27" spans="1:7" s="302" customFormat="1" ht="17.25">
      <c r="A27" s="345" t="s">
        <v>591</v>
      </c>
      <c r="B27" s="346"/>
      <c r="C27" s="347"/>
      <c r="D27" s="303"/>
      <c r="E27" s="348"/>
      <c r="F27" s="349"/>
      <c r="G27" s="112"/>
    </row>
    <row r="28" spans="1:7" s="302" customFormat="1" ht="17.25">
      <c r="A28" s="345" t="s">
        <v>592</v>
      </c>
      <c r="B28" s="346"/>
      <c r="C28" s="347"/>
      <c r="D28" s="303"/>
      <c r="E28" s="348"/>
      <c r="F28" s="349"/>
      <c r="G28" s="112"/>
    </row>
    <row r="29" spans="1:7" s="302" customFormat="1" ht="17.25">
      <c r="A29" s="345" t="s">
        <v>593</v>
      </c>
      <c r="B29" s="346"/>
      <c r="C29" s="347"/>
      <c r="D29" s="303"/>
      <c r="E29" s="348"/>
      <c r="F29" s="349"/>
      <c r="G29" s="112"/>
    </row>
    <row r="30" spans="1:7" s="302" customFormat="1" ht="17.25">
      <c r="A30" s="345" t="s">
        <v>594</v>
      </c>
      <c r="B30" s="346"/>
      <c r="C30" s="347"/>
      <c r="D30" s="303"/>
      <c r="E30" s="348"/>
      <c r="F30" s="349"/>
      <c r="G30" s="112"/>
    </row>
    <row r="31" spans="1:7" s="302" customFormat="1" ht="17.25">
      <c r="A31" s="345" t="s">
        <v>595</v>
      </c>
      <c r="B31" s="346"/>
      <c r="C31" s="347"/>
      <c r="D31" s="303"/>
      <c r="E31" s="348"/>
      <c r="F31" s="349"/>
      <c r="G31" s="112"/>
    </row>
    <row r="32" spans="1:7" s="302" customFormat="1">
      <c r="A32" s="350" t="s">
        <v>596</v>
      </c>
      <c r="B32" s="346"/>
      <c r="C32" s="347"/>
      <c r="D32" s="303"/>
      <c r="E32" s="348"/>
      <c r="F32" s="349"/>
      <c r="G32" s="112"/>
    </row>
    <row r="33" spans="1:7" s="302" customFormat="1">
      <c r="A33" s="345" t="s">
        <v>597</v>
      </c>
      <c r="B33" s="346"/>
      <c r="C33" s="347"/>
      <c r="D33" s="303"/>
      <c r="E33" s="348"/>
      <c r="F33" s="349"/>
      <c r="G33" s="112"/>
    </row>
    <row r="34" spans="1:7" s="302" customFormat="1">
      <c r="A34" s="288" t="s">
        <v>792</v>
      </c>
      <c r="B34" s="346"/>
      <c r="C34" s="347"/>
      <c r="D34" s="303"/>
      <c r="E34" s="348"/>
      <c r="F34" s="349"/>
      <c r="G34" s="112"/>
    </row>
    <row r="35" spans="1:7" s="302" customFormat="1">
      <c r="A35" s="288" t="s">
        <v>793</v>
      </c>
      <c r="B35" s="346"/>
      <c r="C35" s="347"/>
      <c r="D35" s="303"/>
      <c r="E35" s="348"/>
      <c r="F35" s="349"/>
      <c r="G35" s="112"/>
    </row>
    <row r="36" spans="1:7" s="302" customFormat="1">
      <c r="A36" s="288" t="s">
        <v>794</v>
      </c>
      <c r="B36" s="346"/>
      <c r="C36" s="347"/>
      <c r="D36" s="303"/>
      <c r="E36" s="348"/>
      <c r="F36" s="349"/>
      <c r="G36" s="112"/>
    </row>
    <row r="37" spans="1:7" s="302" customFormat="1">
      <c r="A37" s="342"/>
      <c r="B37" s="342" t="s">
        <v>20</v>
      </c>
      <c r="C37" s="342"/>
      <c r="D37" s="342"/>
      <c r="E37" s="342"/>
      <c r="F37" s="342"/>
      <c r="G37" s="342"/>
    </row>
    <row r="38" spans="1:7" s="302" customFormat="1">
      <c r="A38" s="351"/>
      <c r="B38" s="351"/>
      <c r="C38" s="351"/>
      <c r="D38" s="351"/>
      <c r="E38" s="351"/>
      <c r="F38" s="351"/>
      <c r="G38" s="351"/>
    </row>
    <row r="39" spans="1:7" s="302" customFormat="1">
      <c r="A39" s="351"/>
      <c r="B39" s="351"/>
      <c r="C39" s="351"/>
      <c r="D39" s="351"/>
      <c r="E39" s="351"/>
      <c r="F39" s="351"/>
      <c r="G39" s="351"/>
    </row>
    <row r="40" spans="1:7" s="302" customFormat="1">
      <c r="A40" s="351"/>
      <c r="B40" s="351"/>
      <c r="C40" s="351"/>
      <c r="D40" s="351"/>
      <c r="E40" s="351"/>
      <c r="F40" s="351"/>
      <c r="G40" s="351"/>
    </row>
    <row r="41" spans="1:7" s="302" customFormat="1">
      <c r="A41" s="351"/>
      <c r="B41" s="351"/>
      <c r="C41" s="351"/>
      <c r="D41" s="351"/>
      <c r="E41" s="351"/>
      <c r="F41" s="351"/>
      <c r="G41" s="351"/>
    </row>
    <row r="42" spans="1:7" s="302" customFormat="1">
      <c r="A42" s="351"/>
      <c r="B42" s="351"/>
      <c r="C42" s="351"/>
      <c r="D42" s="351"/>
      <c r="E42" s="351"/>
      <c r="F42" s="351"/>
      <c r="G42" s="351"/>
    </row>
    <row r="43" spans="1:7" s="302" customFormat="1">
      <c r="A43" s="351"/>
      <c r="B43" s="351"/>
      <c r="C43" s="351"/>
      <c r="D43" s="351"/>
      <c r="E43" s="351"/>
      <c r="F43" s="351"/>
      <c r="G43" s="351"/>
    </row>
    <row r="44" spans="1:7" s="302" customFormat="1">
      <c r="A44" s="351"/>
      <c r="B44" s="351"/>
      <c r="C44" s="351"/>
      <c r="D44" s="351"/>
      <c r="E44" s="351"/>
      <c r="F44" s="351"/>
      <c r="G44" s="351"/>
    </row>
    <row r="45" spans="1:7" s="302" customFormat="1">
      <c r="A45" s="351"/>
      <c r="B45" s="351"/>
      <c r="C45" s="351"/>
      <c r="D45" s="351"/>
      <c r="E45" s="351"/>
      <c r="F45" s="351"/>
      <c r="G45" s="351"/>
    </row>
    <row r="46" spans="1:7" s="302" customFormat="1">
      <c r="A46" s="351"/>
      <c r="B46" s="351"/>
      <c r="C46" s="351"/>
      <c r="D46" s="351"/>
      <c r="E46" s="351"/>
      <c r="F46" s="351"/>
      <c r="G46" s="351"/>
    </row>
    <row r="47" spans="1:7" s="302" customFormat="1">
      <c r="A47" s="351"/>
      <c r="B47" s="351"/>
      <c r="C47" s="351"/>
      <c r="D47" s="351"/>
      <c r="E47" s="351"/>
      <c r="F47" s="351"/>
      <c r="G47" s="351"/>
    </row>
    <row r="48" spans="1:7" s="302" customFormat="1">
      <c r="A48" s="351"/>
      <c r="B48" s="351"/>
      <c r="C48" s="351"/>
      <c r="D48" s="351"/>
      <c r="E48" s="351"/>
      <c r="F48" s="351"/>
      <c r="G48" s="351"/>
    </row>
    <row r="49" spans="1:7" s="302" customFormat="1">
      <c r="A49" s="351"/>
      <c r="B49" s="351"/>
      <c r="C49" s="351"/>
      <c r="D49" s="351"/>
      <c r="E49" s="351"/>
      <c r="F49" s="351"/>
      <c r="G49" s="351"/>
    </row>
    <row r="50" spans="1:7" s="302" customFormat="1">
      <c r="A50" s="351"/>
      <c r="B50" s="351"/>
      <c r="C50" s="351"/>
      <c r="D50" s="351"/>
      <c r="E50" s="351"/>
      <c r="F50" s="351"/>
      <c r="G50" s="351"/>
    </row>
    <row r="51" spans="1:7" s="302" customFormat="1">
      <c r="A51" s="351"/>
      <c r="B51" s="351"/>
      <c r="C51" s="351"/>
      <c r="D51" s="351"/>
      <c r="E51" s="351"/>
      <c r="F51" s="351"/>
      <c r="G51" s="351"/>
    </row>
    <row r="52" spans="1:7" s="302" customFormat="1">
      <c r="A52" s="342"/>
      <c r="B52" s="352" t="s">
        <v>2418</v>
      </c>
      <c r="C52" s="352"/>
      <c r="D52" s="352"/>
      <c r="E52" s="352"/>
      <c r="F52" s="352"/>
      <c r="G52" s="352"/>
    </row>
    <row r="53" spans="1:7" s="302" customFormat="1">
      <c r="A53" s="342"/>
      <c r="B53" s="353"/>
      <c r="C53" s="353"/>
      <c r="D53" s="353"/>
      <c r="E53" s="353"/>
      <c r="F53" s="353"/>
      <c r="G53" s="353"/>
    </row>
    <row r="54" spans="1:7" s="302" customFormat="1">
      <c r="A54" s="342"/>
      <c r="B54" s="352" t="s">
        <v>22</v>
      </c>
      <c r="C54" s="352"/>
      <c r="D54" s="352"/>
      <c r="E54" s="352"/>
      <c r="F54" s="352"/>
      <c r="G54" s="352"/>
    </row>
    <row r="55" spans="1:7" s="302" customFormat="1">
      <c r="A55" s="342"/>
      <c r="B55" s="353"/>
      <c r="C55" s="353"/>
      <c r="D55" s="353"/>
      <c r="E55" s="353"/>
      <c r="F55" s="353"/>
      <c r="G55" s="353"/>
    </row>
    <row r="56" spans="1:7" s="302" customFormat="1">
      <c r="A56" s="342"/>
      <c r="B56" s="352" t="s">
        <v>23</v>
      </c>
      <c r="C56" s="352"/>
      <c r="D56" s="352"/>
      <c r="E56" s="352"/>
      <c r="F56" s="352"/>
      <c r="G56" s="352"/>
    </row>
    <row r="57" spans="1:7" s="302" customFormat="1">
      <c r="A57" s="342"/>
      <c r="B57" s="352" t="s">
        <v>24</v>
      </c>
      <c r="C57" s="352"/>
      <c r="D57" s="352"/>
      <c r="E57" s="352"/>
      <c r="F57" s="352"/>
      <c r="G57" s="352"/>
    </row>
    <row r="58" spans="1:7" s="303" customFormat="1">
      <c r="A58" s="346"/>
      <c r="B58" s="346"/>
      <c r="E58" s="333"/>
    </row>
    <row r="59" spans="1:7" s="101" customFormat="1">
      <c r="A59" s="290"/>
      <c r="B59" s="289"/>
      <c r="C59" s="63"/>
      <c r="E59" s="63"/>
    </row>
    <row r="60" spans="1:7" s="101" customFormat="1">
      <c r="A60" s="290"/>
      <c r="B60" s="289"/>
      <c r="C60" s="63"/>
      <c r="E60" s="63"/>
    </row>
    <row r="61" spans="1:7" s="101" customFormat="1">
      <c r="A61" s="290"/>
      <c r="B61" s="289"/>
      <c r="C61" s="63"/>
      <c r="E61" s="63"/>
    </row>
  </sheetData>
  <mergeCells count="15">
    <mergeCell ref="A10:A11"/>
    <mergeCell ref="B10:B11"/>
    <mergeCell ref="C10:C11"/>
    <mergeCell ref="A1:G1"/>
    <mergeCell ref="A5:A8"/>
    <mergeCell ref="B5:B8"/>
    <mergeCell ref="C5:C8"/>
    <mergeCell ref="A22:B22"/>
    <mergeCell ref="A23:F23"/>
    <mergeCell ref="A13:A17"/>
    <mergeCell ref="B13:B17"/>
    <mergeCell ref="C13:C17"/>
    <mergeCell ref="A19:A20"/>
    <mergeCell ref="B19:B20"/>
    <mergeCell ref="C19:C20"/>
  </mergeCells>
  <phoneticPr fontId="4" type="noConversion"/>
  <pageMargins left="0.7" right="0.7" top="0.75" bottom="0.75" header="0.3" footer="0.3"/>
  <pageSetup paperSize="9" scale="60" orientation="portrait" r:id="rId1"/>
</worksheet>
</file>

<file path=xl/worksheets/sheet21.xml><?xml version="1.0" encoding="utf-8"?>
<worksheet xmlns="http://schemas.openxmlformats.org/spreadsheetml/2006/main" xmlns:r="http://schemas.openxmlformats.org/officeDocument/2006/relationships">
  <sheetPr>
    <tabColor rgb="FF00B050"/>
  </sheetPr>
  <dimension ref="A1:G97"/>
  <sheetViews>
    <sheetView topLeftCell="A71" workbookViewId="0">
      <selection activeCell="B88" sqref="B88"/>
    </sheetView>
  </sheetViews>
  <sheetFormatPr defaultRowHeight="15.75"/>
  <cols>
    <col min="1" max="1" width="5.28515625" style="127" customWidth="1"/>
    <col min="2" max="2" width="34.7109375" style="127" customWidth="1"/>
    <col min="3" max="3" width="14.85546875" style="128" customWidth="1"/>
    <col min="4" max="4" width="51.42578125" style="127" customWidth="1"/>
    <col min="5" max="5" width="14.85546875" style="143" customWidth="1"/>
    <col min="6" max="6" width="15.42578125" style="143" customWidth="1"/>
    <col min="7" max="7" width="13.7109375" style="143" customWidth="1"/>
    <col min="8" max="16384" width="9.140625" style="103"/>
  </cols>
  <sheetData>
    <row r="1" spans="1:7" ht="35.25" customHeight="1">
      <c r="A1" s="1268" t="s">
        <v>190</v>
      </c>
      <c r="B1" s="1257"/>
      <c r="C1" s="1257"/>
      <c r="D1" s="1257"/>
      <c r="E1" s="1257"/>
      <c r="F1" s="1257"/>
      <c r="G1" s="1257"/>
    </row>
    <row r="2" spans="1:7" ht="28.5" customHeight="1">
      <c r="A2" s="1276" t="s">
        <v>358</v>
      </c>
      <c r="B2" s="1276"/>
      <c r="C2" s="1276"/>
      <c r="D2" s="1276"/>
      <c r="E2" s="1276"/>
      <c r="F2" s="1276"/>
      <c r="G2" s="1276"/>
    </row>
    <row r="3" spans="1:7" ht="30.75" customHeight="1">
      <c r="A3" s="1276" t="s">
        <v>632</v>
      </c>
      <c r="B3" s="1276"/>
      <c r="C3" s="1276"/>
      <c r="D3" s="1276"/>
      <c r="E3" s="1276"/>
      <c r="F3" s="1276"/>
      <c r="G3" s="1276"/>
    </row>
    <row r="4" spans="1:7" s="133" customFormat="1" ht="47.25">
      <c r="A4" s="5" t="s">
        <v>434</v>
      </c>
      <c r="B4" s="5" t="s">
        <v>338</v>
      </c>
      <c r="C4" s="5" t="s">
        <v>771</v>
      </c>
      <c r="D4" s="5" t="s">
        <v>333</v>
      </c>
      <c r="E4" s="5" t="s">
        <v>337</v>
      </c>
      <c r="F4" s="5" t="s">
        <v>770</v>
      </c>
      <c r="G4" s="5" t="s">
        <v>82</v>
      </c>
    </row>
    <row r="5" spans="1:7" ht="47.25">
      <c r="A5" s="1269" t="s">
        <v>634</v>
      </c>
      <c r="B5" s="1270" t="s">
        <v>635</v>
      </c>
      <c r="C5" s="1256">
        <v>0.03</v>
      </c>
      <c r="D5" s="85" t="s">
        <v>359</v>
      </c>
      <c r="E5" s="77">
        <v>0.33</v>
      </c>
      <c r="F5" s="83"/>
      <c r="G5" s="134">
        <f>E5*F5</f>
        <v>0</v>
      </c>
    </row>
    <row r="6" spans="1:7" ht="47.25">
      <c r="A6" s="1269"/>
      <c r="B6" s="1270"/>
      <c r="C6" s="1256"/>
      <c r="D6" s="85" t="s">
        <v>360</v>
      </c>
      <c r="E6" s="77">
        <v>0.67</v>
      </c>
      <c r="F6" s="83"/>
      <c r="G6" s="134">
        <f t="shared" ref="G6:G56" si="0">E6*F6</f>
        <v>0</v>
      </c>
    </row>
    <row r="7" spans="1:7">
      <c r="A7" s="78"/>
      <c r="B7" s="78"/>
      <c r="C7" s="72"/>
      <c r="D7" s="71"/>
      <c r="E7" s="72">
        <f>SUM(E5:E6)</f>
        <v>1</v>
      </c>
      <c r="F7" s="72"/>
      <c r="G7" s="135">
        <f>C5*SUM(G5:G6)</f>
        <v>0</v>
      </c>
    </row>
    <row r="8" spans="1:7" ht="31.5">
      <c r="A8" s="1269" t="s">
        <v>637</v>
      </c>
      <c r="B8" s="1270" t="s">
        <v>191</v>
      </c>
      <c r="C8" s="1256">
        <v>0.15</v>
      </c>
      <c r="D8" s="85" t="s">
        <v>192</v>
      </c>
      <c r="E8" s="77">
        <v>0.05</v>
      </c>
      <c r="F8" s="83"/>
      <c r="G8" s="134">
        <f t="shared" si="0"/>
        <v>0</v>
      </c>
    </row>
    <row r="9" spans="1:7">
      <c r="A9" s="1269"/>
      <c r="B9" s="1270"/>
      <c r="C9" s="1256"/>
      <c r="D9" s="85" t="s">
        <v>193</v>
      </c>
      <c r="E9" s="77">
        <v>0.28000000000000003</v>
      </c>
      <c r="F9" s="83"/>
      <c r="G9" s="134">
        <f t="shared" si="0"/>
        <v>0</v>
      </c>
    </row>
    <row r="10" spans="1:7">
      <c r="A10" s="1269"/>
      <c r="B10" s="1270"/>
      <c r="C10" s="1256"/>
      <c r="D10" s="85" t="s">
        <v>361</v>
      </c>
      <c r="E10" s="77">
        <v>0.1</v>
      </c>
      <c r="F10" s="83"/>
      <c r="G10" s="134">
        <f t="shared" si="0"/>
        <v>0</v>
      </c>
    </row>
    <row r="11" spans="1:7">
      <c r="A11" s="1269"/>
      <c r="B11" s="1270"/>
      <c r="C11" s="1256"/>
      <c r="D11" s="85" t="s">
        <v>194</v>
      </c>
      <c r="E11" s="77">
        <v>0.14000000000000001</v>
      </c>
      <c r="F11" s="83"/>
      <c r="G11" s="134">
        <f t="shared" si="0"/>
        <v>0</v>
      </c>
    </row>
    <row r="12" spans="1:7">
      <c r="A12" s="1269"/>
      <c r="B12" s="1270"/>
      <c r="C12" s="1256"/>
      <c r="D12" s="85" t="s">
        <v>195</v>
      </c>
      <c r="E12" s="77">
        <v>0.24</v>
      </c>
      <c r="F12" s="83"/>
      <c r="G12" s="134">
        <f t="shared" si="0"/>
        <v>0</v>
      </c>
    </row>
    <row r="13" spans="1:7">
      <c r="A13" s="1269"/>
      <c r="B13" s="1270"/>
      <c r="C13" s="1256"/>
      <c r="D13" s="85" t="s">
        <v>196</v>
      </c>
      <c r="E13" s="77">
        <v>0.19</v>
      </c>
      <c r="F13" s="83"/>
      <c r="G13" s="134">
        <f t="shared" si="0"/>
        <v>0</v>
      </c>
    </row>
    <row r="14" spans="1:7">
      <c r="A14" s="78"/>
      <c r="B14" s="78"/>
      <c r="C14" s="72"/>
      <c r="D14" s="71"/>
      <c r="E14" s="72">
        <f>SUM(E8:E13)</f>
        <v>1</v>
      </c>
      <c r="F14" s="72"/>
      <c r="G14" s="135">
        <f>C8*SUM(G8:G13)</f>
        <v>0</v>
      </c>
    </row>
    <row r="15" spans="1:7">
      <c r="A15" s="1269" t="s">
        <v>147</v>
      </c>
      <c r="B15" s="1270" t="s">
        <v>197</v>
      </c>
      <c r="C15" s="1256">
        <v>0.18</v>
      </c>
      <c r="D15" s="85" t="s">
        <v>198</v>
      </c>
      <c r="E15" s="77">
        <v>0.13</v>
      </c>
      <c r="F15" s="83"/>
      <c r="G15" s="134">
        <f t="shared" si="0"/>
        <v>0</v>
      </c>
    </row>
    <row r="16" spans="1:7">
      <c r="A16" s="1269"/>
      <c r="B16" s="1270"/>
      <c r="C16" s="1256"/>
      <c r="D16" s="85" t="s">
        <v>199</v>
      </c>
      <c r="E16" s="77">
        <v>0.28999999999999998</v>
      </c>
      <c r="F16" s="83"/>
      <c r="G16" s="134">
        <f t="shared" si="0"/>
        <v>0</v>
      </c>
    </row>
    <row r="17" spans="1:7">
      <c r="A17" s="1269"/>
      <c r="B17" s="1270"/>
      <c r="C17" s="1256"/>
      <c r="D17" s="85" t="s">
        <v>200</v>
      </c>
      <c r="E17" s="77">
        <v>0.18</v>
      </c>
      <c r="F17" s="83"/>
      <c r="G17" s="134">
        <f t="shared" si="0"/>
        <v>0</v>
      </c>
    </row>
    <row r="18" spans="1:7" ht="31.5">
      <c r="A18" s="1269"/>
      <c r="B18" s="1270"/>
      <c r="C18" s="1256"/>
      <c r="D18" s="85" t="s">
        <v>201</v>
      </c>
      <c r="E18" s="77">
        <v>0.33</v>
      </c>
      <c r="F18" s="83"/>
      <c r="G18" s="134">
        <f t="shared" si="0"/>
        <v>0</v>
      </c>
    </row>
    <row r="19" spans="1:7">
      <c r="A19" s="1269"/>
      <c r="B19" s="1270"/>
      <c r="C19" s="1256"/>
      <c r="D19" s="85" t="s">
        <v>202</v>
      </c>
      <c r="E19" s="77">
        <v>7.0000000000000007E-2</v>
      </c>
      <c r="F19" s="83"/>
      <c r="G19" s="134">
        <f t="shared" si="0"/>
        <v>0</v>
      </c>
    </row>
    <row r="20" spans="1:7">
      <c r="A20" s="78"/>
      <c r="B20" s="78"/>
      <c r="C20" s="72"/>
      <c r="D20" s="71"/>
      <c r="E20" s="72">
        <f>SUM(E15:E19)</f>
        <v>1</v>
      </c>
      <c r="F20" s="72"/>
      <c r="G20" s="135">
        <f>C15*SUM(G15:G19)</f>
        <v>0</v>
      </c>
    </row>
    <row r="21" spans="1:7">
      <c r="A21" s="1269" t="s">
        <v>156</v>
      </c>
      <c r="B21" s="1270" t="s">
        <v>203</v>
      </c>
      <c r="C21" s="1256">
        <v>0.2</v>
      </c>
      <c r="D21" s="85" t="s">
        <v>204</v>
      </c>
      <c r="E21" s="77">
        <v>0.28000000000000003</v>
      </c>
      <c r="F21" s="83"/>
      <c r="G21" s="134">
        <f t="shared" si="0"/>
        <v>0</v>
      </c>
    </row>
    <row r="22" spans="1:7">
      <c r="A22" s="1269"/>
      <c r="B22" s="1270"/>
      <c r="C22" s="1256"/>
      <c r="D22" s="85" t="s">
        <v>205</v>
      </c>
      <c r="E22" s="77">
        <v>0.1</v>
      </c>
      <c r="F22" s="83"/>
      <c r="G22" s="134">
        <f t="shared" si="0"/>
        <v>0</v>
      </c>
    </row>
    <row r="23" spans="1:7" ht="31.5">
      <c r="A23" s="1269"/>
      <c r="B23" s="1270"/>
      <c r="C23" s="1256"/>
      <c r="D23" s="85" t="s">
        <v>206</v>
      </c>
      <c r="E23" s="77">
        <v>0.05</v>
      </c>
      <c r="F23" s="83"/>
      <c r="G23" s="134">
        <f t="shared" si="0"/>
        <v>0</v>
      </c>
    </row>
    <row r="24" spans="1:7">
      <c r="A24" s="1269"/>
      <c r="B24" s="1270"/>
      <c r="C24" s="1256"/>
      <c r="D24" s="1275" t="s">
        <v>207</v>
      </c>
      <c r="E24" s="1274">
        <v>0.24</v>
      </c>
      <c r="F24" s="83"/>
      <c r="G24" s="134">
        <f t="shared" si="0"/>
        <v>0</v>
      </c>
    </row>
    <row r="25" spans="1:7">
      <c r="A25" s="1269"/>
      <c r="B25" s="1270"/>
      <c r="C25" s="1256"/>
      <c r="D25" s="1275"/>
      <c r="E25" s="1274"/>
      <c r="F25" s="83"/>
      <c r="G25" s="134">
        <f t="shared" si="0"/>
        <v>0</v>
      </c>
    </row>
    <row r="26" spans="1:7">
      <c r="A26" s="1269"/>
      <c r="B26" s="1270"/>
      <c r="C26" s="1256"/>
      <c r="D26" s="1275" t="s">
        <v>208</v>
      </c>
      <c r="E26" s="1274">
        <v>0.19</v>
      </c>
      <c r="F26" s="83"/>
      <c r="G26" s="134">
        <f t="shared" si="0"/>
        <v>0</v>
      </c>
    </row>
    <row r="27" spans="1:7">
      <c r="A27" s="1269"/>
      <c r="B27" s="1270"/>
      <c r="C27" s="1256"/>
      <c r="D27" s="1275"/>
      <c r="E27" s="1274"/>
      <c r="F27" s="83"/>
      <c r="G27" s="134">
        <f t="shared" si="0"/>
        <v>0</v>
      </c>
    </row>
    <row r="28" spans="1:7">
      <c r="A28" s="1269"/>
      <c r="B28" s="1270"/>
      <c r="C28" s="1256"/>
      <c r="D28" s="85" t="s">
        <v>209</v>
      </c>
      <c r="E28" s="77">
        <v>0.14000000000000001</v>
      </c>
      <c r="F28" s="83"/>
      <c r="G28" s="134">
        <f t="shared" si="0"/>
        <v>0</v>
      </c>
    </row>
    <row r="29" spans="1:7">
      <c r="A29" s="78"/>
      <c r="B29" s="78"/>
      <c r="C29" s="72"/>
      <c r="D29" s="71"/>
      <c r="E29" s="72">
        <f>SUM(E21:E28)</f>
        <v>0.99999999999999989</v>
      </c>
      <c r="F29" s="72"/>
      <c r="G29" s="135">
        <f>C21*SUM(G21:G28)</f>
        <v>0</v>
      </c>
    </row>
    <row r="30" spans="1:7" ht="47.25">
      <c r="A30" s="1269" t="s">
        <v>164</v>
      </c>
      <c r="B30" s="1270" t="s">
        <v>362</v>
      </c>
      <c r="C30" s="1256">
        <v>0.09</v>
      </c>
      <c r="D30" s="85" t="s">
        <v>210</v>
      </c>
      <c r="E30" s="77">
        <v>0.33</v>
      </c>
      <c r="F30" s="83"/>
      <c r="G30" s="134">
        <f t="shared" si="0"/>
        <v>0</v>
      </c>
    </row>
    <row r="31" spans="1:7" ht="47.25">
      <c r="A31" s="1269"/>
      <c r="B31" s="1270"/>
      <c r="C31" s="1256"/>
      <c r="D31" s="85" t="s">
        <v>211</v>
      </c>
      <c r="E31" s="77">
        <v>0.13</v>
      </c>
      <c r="F31" s="83"/>
      <c r="G31" s="134">
        <f t="shared" si="0"/>
        <v>0</v>
      </c>
    </row>
    <row r="32" spans="1:7">
      <c r="A32" s="1269"/>
      <c r="B32" s="1270"/>
      <c r="C32" s="1256"/>
      <c r="D32" s="85" t="s">
        <v>212</v>
      </c>
      <c r="E32" s="77">
        <v>0.18</v>
      </c>
      <c r="F32" s="83"/>
      <c r="G32" s="134">
        <f t="shared" si="0"/>
        <v>0</v>
      </c>
    </row>
    <row r="33" spans="1:7">
      <c r="A33" s="1269"/>
      <c r="B33" s="1270"/>
      <c r="C33" s="1256"/>
      <c r="D33" s="85" t="s">
        <v>213</v>
      </c>
      <c r="E33" s="77">
        <v>0.28999999999999998</v>
      </c>
      <c r="F33" s="83"/>
      <c r="G33" s="134">
        <f t="shared" si="0"/>
        <v>0</v>
      </c>
    </row>
    <row r="34" spans="1:7" ht="47.25">
      <c r="A34" s="1269"/>
      <c r="B34" s="1270"/>
      <c r="C34" s="1256"/>
      <c r="D34" s="85" t="s">
        <v>214</v>
      </c>
      <c r="E34" s="77">
        <v>7.0000000000000007E-2</v>
      </c>
      <c r="F34" s="83"/>
      <c r="G34" s="134">
        <f t="shared" si="0"/>
        <v>0</v>
      </c>
    </row>
    <row r="35" spans="1:7">
      <c r="A35" s="78"/>
      <c r="B35" s="78"/>
      <c r="C35" s="72"/>
      <c r="D35" s="71"/>
      <c r="E35" s="72">
        <f>SUM(E30:E34)</f>
        <v>1</v>
      </c>
      <c r="F35" s="72"/>
      <c r="G35" s="135">
        <f>C30*SUM(G30:G34)</f>
        <v>0</v>
      </c>
    </row>
    <row r="36" spans="1:7" ht="31.5">
      <c r="A36" s="1269" t="s">
        <v>169</v>
      </c>
      <c r="B36" s="1270" t="s">
        <v>215</v>
      </c>
      <c r="C36" s="1256">
        <v>0.13</v>
      </c>
      <c r="D36" s="85" t="s">
        <v>216</v>
      </c>
      <c r="E36" s="77">
        <v>0.03</v>
      </c>
      <c r="F36" s="83"/>
      <c r="G36" s="134">
        <f t="shared" si="0"/>
        <v>0</v>
      </c>
    </row>
    <row r="37" spans="1:7" ht="31.5">
      <c r="A37" s="1269"/>
      <c r="B37" s="1270"/>
      <c r="C37" s="1256"/>
      <c r="D37" s="85" t="s">
        <v>217</v>
      </c>
      <c r="E37" s="77">
        <v>0.22</v>
      </c>
      <c r="F37" s="83"/>
      <c r="G37" s="134">
        <f t="shared" si="0"/>
        <v>0</v>
      </c>
    </row>
    <row r="38" spans="1:7" ht="31.5">
      <c r="A38" s="1269"/>
      <c r="B38" s="1270"/>
      <c r="C38" s="1256"/>
      <c r="D38" s="85" t="s">
        <v>363</v>
      </c>
      <c r="E38" s="77">
        <v>0.2</v>
      </c>
      <c r="F38" s="83"/>
      <c r="G38" s="134">
        <f t="shared" si="0"/>
        <v>0</v>
      </c>
    </row>
    <row r="39" spans="1:7" ht="47.25">
      <c r="A39" s="1269"/>
      <c r="B39" s="1270"/>
      <c r="C39" s="1256"/>
      <c r="D39" s="85" t="s">
        <v>218</v>
      </c>
      <c r="E39" s="77">
        <v>0.17</v>
      </c>
      <c r="F39" s="83"/>
      <c r="G39" s="134">
        <f t="shared" si="0"/>
        <v>0</v>
      </c>
    </row>
    <row r="40" spans="1:7" ht="47.25">
      <c r="A40" s="1269"/>
      <c r="B40" s="1270"/>
      <c r="C40" s="1256"/>
      <c r="D40" s="85" t="s">
        <v>219</v>
      </c>
      <c r="E40" s="77">
        <v>0.06</v>
      </c>
      <c r="F40" s="83"/>
      <c r="G40" s="134">
        <f t="shared" si="0"/>
        <v>0</v>
      </c>
    </row>
    <row r="41" spans="1:7" ht="31.5">
      <c r="A41" s="1269"/>
      <c r="B41" s="1270"/>
      <c r="C41" s="1256"/>
      <c r="D41" s="85" t="s">
        <v>220</v>
      </c>
      <c r="E41" s="77">
        <v>0.08</v>
      </c>
      <c r="F41" s="83"/>
      <c r="G41" s="134">
        <f t="shared" si="0"/>
        <v>0</v>
      </c>
    </row>
    <row r="42" spans="1:7" ht="31.5">
      <c r="A42" s="1269"/>
      <c r="B42" s="1270"/>
      <c r="C42" s="1256"/>
      <c r="D42" s="85" t="s">
        <v>221</v>
      </c>
      <c r="E42" s="77">
        <v>0.13</v>
      </c>
      <c r="F42" s="83"/>
      <c r="G42" s="134">
        <f t="shared" si="0"/>
        <v>0</v>
      </c>
    </row>
    <row r="43" spans="1:7" ht="31.5">
      <c r="A43" s="1269"/>
      <c r="B43" s="1270"/>
      <c r="C43" s="1256"/>
      <c r="D43" s="85" t="s">
        <v>222</v>
      </c>
      <c r="E43" s="77">
        <v>0.11</v>
      </c>
      <c r="F43" s="83"/>
      <c r="G43" s="134">
        <f t="shared" si="0"/>
        <v>0</v>
      </c>
    </row>
    <row r="44" spans="1:7">
      <c r="A44" s="78"/>
      <c r="B44" s="78"/>
      <c r="C44" s="72"/>
      <c r="D44" s="71"/>
      <c r="E44" s="72">
        <f>SUM(E36:E43)</f>
        <v>0.99999999999999989</v>
      </c>
      <c r="F44" s="72"/>
      <c r="G44" s="135">
        <f>C36*SUM(G36:G43)</f>
        <v>0</v>
      </c>
    </row>
    <row r="45" spans="1:7" ht="63">
      <c r="A45" s="1269" t="s">
        <v>174</v>
      </c>
      <c r="B45" s="1270" t="s">
        <v>175</v>
      </c>
      <c r="C45" s="1256">
        <v>7.0000000000000007E-2</v>
      </c>
      <c r="D45" s="85" t="s">
        <v>223</v>
      </c>
      <c r="E45" s="77">
        <v>0.5</v>
      </c>
      <c r="F45" s="83"/>
      <c r="G45" s="134">
        <f t="shared" si="0"/>
        <v>0</v>
      </c>
    </row>
    <row r="46" spans="1:7" ht="63">
      <c r="A46" s="1269"/>
      <c r="B46" s="1270"/>
      <c r="C46" s="1256"/>
      <c r="D46" s="85" t="s">
        <v>224</v>
      </c>
      <c r="E46" s="77">
        <v>0.5</v>
      </c>
      <c r="F46" s="83"/>
      <c r="G46" s="134">
        <f t="shared" si="0"/>
        <v>0</v>
      </c>
    </row>
    <row r="47" spans="1:7">
      <c r="A47" s="78"/>
      <c r="B47" s="78"/>
      <c r="C47" s="72"/>
      <c r="D47" s="71"/>
      <c r="E47" s="72">
        <f>SUM(E45:E46)</f>
        <v>1</v>
      </c>
      <c r="F47" s="72"/>
      <c r="G47" s="135">
        <f>C45*SUM(G45:G46)</f>
        <v>0</v>
      </c>
    </row>
    <row r="48" spans="1:7" ht="47.25">
      <c r="A48" s="1269" t="s">
        <v>225</v>
      </c>
      <c r="B48" s="1270" t="s">
        <v>165</v>
      </c>
      <c r="C48" s="1256">
        <v>0.11</v>
      </c>
      <c r="D48" s="85" t="s">
        <v>226</v>
      </c>
      <c r="E48" s="77">
        <v>7.0000000000000007E-2</v>
      </c>
      <c r="F48" s="83"/>
      <c r="G48" s="134">
        <f t="shared" si="0"/>
        <v>0</v>
      </c>
    </row>
    <row r="49" spans="1:7">
      <c r="A49" s="1269"/>
      <c r="B49" s="1270"/>
      <c r="C49" s="1256"/>
      <c r="D49" s="85" t="s">
        <v>227</v>
      </c>
      <c r="E49" s="77">
        <v>0.13</v>
      </c>
      <c r="F49" s="83"/>
      <c r="G49" s="134">
        <f t="shared" si="0"/>
        <v>0</v>
      </c>
    </row>
    <row r="50" spans="1:7" ht="47.25">
      <c r="A50" s="1269"/>
      <c r="B50" s="1270"/>
      <c r="C50" s="1256"/>
      <c r="D50" s="85" t="s">
        <v>228</v>
      </c>
      <c r="E50" s="77">
        <v>0.18</v>
      </c>
      <c r="F50" s="83"/>
      <c r="G50" s="134">
        <f t="shared" si="0"/>
        <v>0</v>
      </c>
    </row>
    <row r="51" spans="1:7" ht="47.25">
      <c r="A51" s="1269"/>
      <c r="B51" s="1270"/>
      <c r="C51" s="1256"/>
      <c r="D51" s="85" t="s">
        <v>229</v>
      </c>
      <c r="E51" s="77">
        <v>0.33</v>
      </c>
      <c r="F51" s="83"/>
      <c r="G51" s="134">
        <f t="shared" si="0"/>
        <v>0</v>
      </c>
    </row>
    <row r="52" spans="1:7" ht="31.5">
      <c r="A52" s="1269"/>
      <c r="B52" s="1270"/>
      <c r="C52" s="1256"/>
      <c r="D52" s="85" t="s">
        <v>230</v>
      </c>
      <c r="E52" s="77">
        <v>0.28999999999999998</v>
      </c>
      <c r="F52" s="83"/>
      <c r="G52" s="134">
        <f t="shared" si="0"/>
        <v>0</v>
      </c>
    </row>
    <row r="53" spans="1:7">
      <c r="A53" s="78"/>
      <c r="B53" s="78"/>
      <c r="C53" s="72"/>
      <c r="D53" s="71"/>
      <c r="E53" s="72">
        <f>SUM(E48:E52)</f>
        <v>1</v>
      </c>
      <c r="F53" s="72"/>
      <c r="G53" s="135">
        <f>C48*SUM(G48:G52)</f>
        <v>0</v>
      </c>
    </row>
    <row r="54" spans="1:7">
      <c r="A54" s="1269" t="s">
        <v>231</v>
      </c>
      <c r="B54" s="1270" t="s">
        <v>170</v>
      </c>
      <c r="C54" s="1256">
        <v>0.04</v>
      </c>
      <c r="D54" s="85" t="s">
        <v>232</v>
      </c>
      <c r="E54" s="77">
        <v>0.17</v>
      </c>
      <c r="F54" s="83"/>
      <c r="G54" s="134">
        <f t="shared" si="0"/>
        <v>0</v>
      </c>
    </row>
    <row r="55" spans="1:7" ht="31.5">
      <c r="A55" s="1269"/>
      <c r="B55" s="1270"/>
      <c r="C55" s="1256"/>
      <c r="D55" s="85" t="s">
        <v>233</v>
      </c>
      <c r="E55" s="77">
        <v>0.5</v>
      </c>
      <c r="F55" s="83"/>
      <c r="G55" s="134">
        <f t="shared" si="0"/>
        <v>0</v>
      </c>
    </row>
    <row r="56" spans="1:7">
      <c r="A56" s="1269"/>
      <c r="B56" s="1270"/>
      <c r="C56" s="1256"/>
      <c r="D56" s="85" t="s">
        <v>234</v>
      </c>
      <c r="E56" s="77">
        <v>0.33</v>
      </c>
      <c r="F56" s="83"/>
      <c r="G56" s="134">
        <f t="shared" si="0"/>
        <v>0</v>
      </c>
    </row>
    <row r="57" spans="1:7">
      <c r="A57" s="136"/>
      <c r="B57" s="136"/>
      <c r="C57" s="137"/>
      <c r="D57" s="136"/>
      <c r="E57" s="135">
        <f>SUM(E54:E56)</f>
        <v>1</v>
      </c>
      <c r="F57" s="135"/>
      <c r="G57" s="135">
        <f>C54*SUM(G54:G56)</f>
        <v>0</v>
      </c>
    </row>
    <row r="58" spans="1:7">
      <c r="A58" s="138" t="s">
        <v>443</v>
      </c>
      <c r="B58" s="139"/>
      <c r="C58" s="140">
        <f>C5+C8+C15+C21+C30+C36+C45+C48+C54</f>
        <v>1</v>
      </c>
      <c r="D58" s="141"/>
      <c r="E58" s="141"/>
      <c r="F58" s="141"/>
      <c r="G58" s="140">
        <f>G7+G14+G20+G29+G35+G44+G47+G53+G57</f>
        <v>0</v>
      </c>
    </row>
    <row r="59" spans="1:7">
      <c r="A59" s="1271" t="s">
        <v>444</v>
      </c>
      <c r="B59" s="1272"/>
      <c r="C59" s="1272"/>
      <c r="D59" s="1272"/>
      <c r="E59" s="1272"/>
      <c r="F59" s="1273"/>
      <c r="G59" s="142" t="str">
        <f>IF(G58&lt;=0.5,"низький",IF(G58&lt;=0.75,"середній",(IF(G58&lt;=0.95,"достатній",(IF(G58&lt;=1,"високий"))))))</f>
        <v>низький</v>
      </c>
    </row>
    <row r="60" spans="1:7" s="302" customFormat="1">
      <c r="A60" s="288" t="s">
        <v>182</v>
      </c>
      <c r="B60" s="289"/>
      <c r="C60" s="342"/>
      <c r="E60" s="343"/>
      <c r="F60" s="344"/>
      <c r="G60" s="112"/>
    </row>
    <row r="61" spans="1:7" s="302" customFormat="1" ht="17.25">
      <c r="A61" s="345" t="s">
        <v>589</v>
      </c>
      <c r="B61" s="346"/>
      <c r="C61" s="347"/>
      <c r="D61" s="303"/>
      <c r="E61" s="348"/>
      <c r="F61" s="349"/>
      <c r="G61" s="112"/>
    </row>
    <row r="62" spans="1:7" s="302" customFormat="1" ht="17.25">
      <c r="A62" s="345" t="s">
        <v>590</v>
      </c>
      <c r="B62" s="346"/>
      <c r="C62" s="347"/>
      <c r="D62" s="303"/>
      <c r="E62" s="348"/>
      <c r="F62" s="349"/>
      <c r="G62" s="112"/>
    </row>
    <row r="63" spans="1:7" s="302" customFormat="1" ht="17.25">
      <c r="A63" s="345" t="s">
        <v>591</v>
      </c>
      <c r="B63" s="346"/>
      <c r="C63" s="347"/>
      <c r="D63" s="303"/>
      <c r="E63" s="348"/>
      <c r="F63" s="349"/>
      <c r="G63" s="112"/>
    </row>
    <row r="64" spans="1:7" s="302" customFormat="1" ht="17.25">
      <c r="A64" s="345" t="s">
        <v>592</v>
      </c>
      <c r="B64" s="346"/>
      <c r="C64" s="347"/>
      <c r="D64" s="303"/>
      <c r="E64" s="348"/>
      <c r="F64" s="349"/>
      <c r="G64" s="112"/>
    </row>
    <row r="65" spans="1:7" s="302" customFormat="1" ht="17.25">
      <c r="A65" s="345" t="s">
        <v>593</v>
      </c>
      <c r="B65" s="346"/>
      <c r="C65" s="347"/>
      <c r="D65" s="303"/>
      <c r="E65" s="348"/>
      <c r="F65" s="349"/>
      <c r="G65" s="112"/>
    </row>
    <row r="66" spans="1:7" s="302" customFormat="1" ht="17.25">
      <c r="A66" s="345" t="s">
        <v>594</v>
      </c>
      <c r="B66" s="346"/>
      <c r="C66" s="347"/>
      <c r="D66" s="303"/>
      <c r="E66" s="348"/>
      <c r="F66" s="349"/>
      <c r="G66" s="112"/>
    </row>
    <row r="67" spans="1:7" s="302" customFormat="1" ht="17.25">
      <c r="A67" s="345" t="s">
        <v>595</v>
      </c>
      <c r="B67" s="346"/>
      <c r="C67" s="347"/>
      <c r="D67" s="303"/>
      <c r="E67" s="348"/>
      <c r="F67" s="349"/>
      <c r="G67" s="112"/>
    </row>
    <row r="68" spans="1:7" s="302" customFormat="1">
      <c r="A68" s="350" t="s">
        <v>596</v>
      </c>
      <c r="B68" s="346"/>
      <c r="C68" s="347"/>
      <c r="D68" s="303"/>
      <c r="E68" s="348"/>
      <c r="F68" s="349"/>
      <c r="G68" s="112"/>
    </row>
    <row r="69" spans="1:7" s="302" customFormat="1">
      <c r="A69" s="345" t="s">
        <v>597</v>
      </c>
      <c r="B69" s="346"/>
      <c r="C69" s="347"/>
      <c r="D69" s="303"/>
      <c r="E69" s="348"/>
      <c r="F69" s="349"/>
      <c r="G69" s="112"/>
    </row>
    <row r="70" spans="1:7" s="302" customFormat="1">
      <c r="A70" s="288" t="s">
        <v>792</v>
      </c>
      <c r="B70" s="346"/>
      <c r="C70" s="347"/>
      <c r="D70" s="303"/>
      <c r="E70" s="348"/>
      <c r="F70" s="349"/>
      <c r="G70" s="112"/>
    </row>
    <row r="71" spans="1:7" s="302" customFormat="1">
      <c r="A71" s="288" t="s">
        <v>793</v>
      </c>
      <c r="B71" s="346"/>
      <c r="C71" s="347"/>
      <c r="D71" s="303"/>
      <c r="E71" s="348"/>
      <c r="F71" s="349"/>
      <c r="G71" s="112"/>
    </row>
    <row r="72" spans="1:7" s="302" customFormat="1">
      <c r="A72" s="288" t="s">
        <v>794</v>
      </c>
      <c r="B72" s="346"/>
      <c r="C72" s="347"/>
      <c r="D72" s="303"/>
      <c r="E72" s="348"/>
      <c r="F72" s="349"/>
      <c r="G72" s="112"/>
    </row>
    <row r="73" spans="1:7" s="302" customFormat="1">
      <c r="A73" s="342"/>
      <c r="B73" s="342" t="s">
        <v>20</v>
      </c>
      <c r="C73" s="342"/>
      <c r="D73" s="342"/>
      <c r="E73" s="342"/>
      <c r="F73" s="342"/>
      <c r="G73" s="342"/>
    </row>
    <row r="74" spans="1:7" s="302" customFormat="1">
      <c r="A74" s="351"/>
      <c r="B74" s="351"/>
      <c r="C74" s="351"/>
      <c r="D74" s="351"/>
      <c r="E74" s="351"/>
      <c r="F74" s="351"/>
      <c r="G74" s="351"/>
    </row>
    <row r="75" spans="1:7" s="302" customFormat="1">
      <c r="A75" s="351"/>
      <c r="B75" s="351"/>
      <c r="C75" s="351"/>
      <c r="D75" s="351"/>
      <c r="E75" s="351"/>
      <c r="F75" s="351"/>
      <c r="G75" s="351"/>
    </row>
    <row r="76" spans="1:7" s="302" customFormat="1">
      <c r="A76" s="351"/>
      <c r="B76" s="351"/>
      <c r="C76" s="351"/>
      <c r="D76" s="351"/>
      <c r="E76" s="351"/>
      <c r="F76" s="351"/>
      <c r="G76" s="351"/>
    </row>
    <row r="77" spans="1:7" s="302" customFormat="1">
      <c r="A77" s="351"/>
      <c r="B77" s="351"/>
      <c r="C77" s="351"/>
      <c r="D77" s="351"/>
      <c r="E77" s="351"/>
      <c r="F77" s="351"/>
      <c r="G77" s="351"/>
    </row>
    <row r="78" spans="1:7" s="302" customFormat="1">
      <c r="A78" s="351"/>
      <c r="B78" s="351"/>
      <c r="C78" s="351"/>
      <c r="D78" s="351"/>
      <c r="E78" s="351"/>
      <c r="F78" s="351"/>
      <c r="G78" s="351"/>
    </row>
    <row r="79" spans="1:7" s="302" customFormat="1">
      <c r="A79" s="351"/>
      <c r="B79" s="351"/>
      <c r="C79" s="351"/>
      <c r="D79" s="351"/>
      <c r="E79" s="351"/>
      <c r="F79" s="351"/>
      <c r="G79" s="351"/>
    </row>
    <row r="80" spans="1:7" s="302" customFormat="1">
      <c r="A80" s="351"/>
      <c r="B80" s="351"/>
      <c r="C80" s="351"/>
      <c r="D80" s="351"/>
      <c r="E80" s="351"/>
      <c r="F80" s="351"/>
      <c r="G80" s="351"/>
    </row>
    <row r="81" spans="1:7" s="302" customFormat="1">
      <c r="A81" s="351"/>
      <c r="B81" s="351"/>
      <c r="C81" s="351"/>
      <c r="D81" s="351"/>
      <c r="E81" s="351"/>
      <c r="F81" s="351"/>
      <c r="G81" s="351"/>
    </row>
    <row r="82" spans="1:7" s="302" customFormat="1">
      <c r="A82" s="351"/>
      <c r="B82" s="351"/>
      <c r="C82" s="351"/>
      <c r="D82" s="351"/>
      <c r="E82" s="351"/>
      <c r="F82" s="351"/>
      <c r="G82" s="351"/>
    </row>
    <row r="83" spans="1:7" s="302" customFormat="1">
      <c r="A83" s="351"/>
      <c r="B83" s="351"/>
      <c r="C83" s="351"/>
      <c r="D83" s="351"/>
      <c r="E83" s="351"/>
      <c r="F83" s="351"/>
      <c r="G83" s="351"/>
    </row>
    <row r="84" spans="1:7" s="302" customFormat="1">
      <c r="A84" s="351"/>
      <c r="B84" s="351"/>
      <c r="C84" s="351"/>
      <c r="D84" s="351"/>
      <c r="E84" s="351"/>
      <c r="F84" s="351"/>
      <c r="G84" s="351"/>
    </row>
    <row r="85" spans="1:7" s="302" customFormat="1">
      <c r="A85" s="351"/>
      <c r="B85" s="351"/>
      <c r="C85" s="351"/>
      <c r="D85" s="351"/>
      <c r="E85" s="351"/>
      <c r="F85" s="351"/>
      <c r="G85" s="351"/>
    </row>
    <row r="86" spans="1:7" s="302" customFormat="1">
      <c r="A86" s="351"/>
      <c r="B86" s="351"/>
      <c r="C86" s="351"/>
      <c r="D86" s="351"/>
      <c r="E86" s="351"/>
      <c r="F86" s="351"/>
      <c r="G86" s="351"/>
    </row>
    <row r="87" spans="1:7" s="302" customFormat="1">
      <c r="A87" s="351"/>
      <c r="B87" s="351"/>
      <c r="C87" s="351"/>
      <c r="D87" s="351"/>
      <c r="E87" s="351"/>
      <c r="F87" s="351"/>
      <c r="G87" s="351"/>
    </row>
    <row r="88" spans="1:7" s="302" customFormat="1">
      <c r="A88" s="342"/>
      <c r="B88" s="352" t="s">
        <v>2418</v>
      </c>
      <c r="C88" s="352"/>
      <c r="D88" s="352"/>
      <c r="E88" s="352"/>
      <c r="F88" s="352"/>
      <c r="G88" s="352"/>
    </row>
    <row r="89" spans="1:7" s="302" customFormat="1">
      <c r="A89" s="342"/>
      <c r="B89" s="353"/>
      <c r="C89" s="353"/>
      <c r="D89" s="353"/>
      <c r="E89" s="353"/>
      <c r="F89" s="353"/>
      <c r="G89" s="353"/>
    </row>
    <row r="90" spans="1:7" s="302" customFormat="1">
      <c r="A90" s="342"/>
      <c r="B90" s="352" t="s">
        <v>22</v>
      </c>
      <c r="C90" s="352"/>
      <c r="D90" s="352"/>
      <c r="E90" s="352"/>
      <c r="F90" s="352"/>
      <c r="G90" s="352"/>
    </row>
    <row r="91" spans="1:7" s="302" customFormat="1">
      <c r="A91" s="342"/>
      <c r="B91" s="353"/>
      <c r="C91" s="353"/>
      <c r="D91" s="353"/>
      <c r="E91" s="353"/>
      <c r="F91" s="353"/>
      <c r="G91" s="353"/>
    </row>
    <row r="92" spans="1:7" s="302" customFormat="1">
      <c r="A92" s="342"/>
      <c r="B92" s="352" t="s">
        <v>23</v>
      </c>
      <c r="C92" s="352"/>
      <c r="D92" s="352"/>
      <c r="E92" s="352"/>
      <c r="F92" s="352"/>
      <c r="G92" s="352"/>
    </row>
    <row r="93" spans="1:7" s="302" customFormat="1">
      <c r="A93" s="342"/>
      <c r="B93" s="352" t="s">
        <v>24</v>
      </c>
      <c r="C93" s="352"/>
      <c r="D93" s="352"/>
      <c r="E93" s="352"/>
      <c r="F93" s="352"/>
      <c r="G93" s="352"/>
    </row>
    <row r="94" spans="1:7" s="303" customFormat="1">
      <c r="A94" s="346"/>
      <c r="B94" s="346"/>
      <c r="E94" s="333"/>
    </row>
    <row r="95" spans="1:7" s="101" customFormat="1">
      <c r="A95" s="290"/>
      <c r="B95" s="289"/>
      <c r="C95" s="63"/>
      <c r="E95" s="63"/>
    </row>
    <row r="96" spans="1:7" s="101" customFormat="1">
      <c r="A96" s="290"/>
      <c r="B96" s="289"/>
      <c r="C96" s="63"/>
      <c r="E96" s="63"/>
    </row>
    <row r="97" spans="1:5" s="101" customFormat="1">
      <c r="A97" s="290"/>
      <c r="B97" s="289"/>
      <c r="C97" s="63"/>
      <c r="E97" s="63"/>
    </row>
  </sheetData>
  <mergeCells count="35">
    <mergeCell ref="A1:G1"/>
    <mergeCell ref="A2:G2"/>
    <mergeCell ref="A3:G3"/>
    <mergeCell ref="A5:A6"/>
    <mergeCell ref="B5:B6"/>
    <mergeCell ref="C5:C6"/>
    <mergeCell ref="E24:E25"/>
    <mergeCell ref="D26:D27"/>
    <mergeCell ref="E26:E27"/>
    <mergeCell ref="A8:A13"/>
    <mergeCell ref="B8:B13"/>
    <mergeCell ref="C8:C13"/>
    <mergeCell ref="A15:A19"/>
    <mergeCell ref="B15:B19"/>
    <mergeCell ref="C15:C19"/>
    <mergeCell ref="A21:A28"/>
    <mergeCell ref="B21:B28"/>
    <mergeCell ref="C21:C28"/>
    <mergeCell ref="D24:D25"/>
    <mergeCell ref="A30:A34"/>
    <mergeCell ref="B30:B34"/>
    <mergeCell ref="C30:C34"/>
    <mergeCell ref="A36:A43"/>
    <mergeCell ref="B36:B43"/>
    <mergeCell ref="C36:C43"/>
    <mergeCell ref="A45:A46"/>
    <mergeCell ref="B45:B46"/>
    <mergeCell ref="C45:C46"/>
    <mergeCell ref="A59:F59"/>
    <mergeCell ref="A48:A52"/>
    <mergeCell ref="B48:B52"/>
    <mergeCell ref="C48:C52"/>
    <mergeCell ref="A54:A56"/>
    <mergeCell ref="B54:B56"/>
    <mergeCell ref="C54:C56"/>
  </mergeCells>
  <phoneticPr fontId="4" type="noConversion"/>
  <pageMargins left="0.7" right="0.7" top="0.75" bottom="0.75" header="0.3" footer="0.3"/>
  <pageSetup paperSize="9" scale="55" orientation="portrait" r:id="rId1"/>
</worksheet>
</file>

<file path=xl/worksheets/sheet22.xml><?xml version="1.0" encoding="utf-8"?>
<worksheet xmlns="http://schemas.openxmlformats.org/spreadsheetml/2006/main" xmlns:r="http://schemas.openxmlformats.org/officeDocument/2006/relationships">
  <dimension ref="A1:J78"/>
  <sheetViews>
    <sheetView topLeftCell="A16" workbookViewId="0">
      <selection activeCell="B63" sqref="B63"/>
    </sheetView>
  </sheetViews>
  <sheetFormatPr defaultRowHeight="15.75"/>
  <cols>
    <col min="1" max="1" width="6.140625" style="273" customWidth="1"/>
    <col min="2" max="2" width="25.140625" style="274" customWidth="1"/>
    <col min="3" max="3" width="13" style="275" customWidth="1"/>
    <col min="4" max="4" width="6.42578125" style="736" customWidth="1"/>
    <col min="5" max="5" width="42.28515625" style="8" customWidth="1"/>
    <col min="6" max="6" width="16.42578125" style="276" customWidth="1"/>
    <col min="7" max="7" width="17.7109375" style="273" customWidth="1"/>
    <col min="8" max="8" width="13.7109375" style="275" customWidth="1"/>
    <col min="9" max="16384" width="9.140625" style="273"/>
  </cols>
  <sheetData>
    <row r="1" spans="1:8" ht="15.75" customHeight="1">
      <c r="A1" s="1186" t="s">
        <v>446</v>
      </c>
      <c r="B1" s="1186"/>
      <c r="C1" s="1186"/>
      <c r="D1" s="1186"/>
      <c r="E1" s="1186"/>
      <c r="F1" s="1186"/>
      <c r="G1" s="1186"/>
      <c r="H1" s="1186"/>
    </row>
    <row r="2" spans="1:8" ht="55.5" customHeight="1">
      <c r="A2" s="1186" t="s">
        <v>2199</v>
      </c>
      <c r="B2" s="1186"/>
      <c r="C2" s="1186"/>
      <c r="D2" s="1186"/>
      <c r="E2" s="1186"/>
      <c r="F2" s="1186"/>
      <c r="G2" s="1186"/>
      <c r="H2" s="1186"/>
    </row>
    <row r="3" spans="1:8" hidden="1"/>
    <row r="4" spans="1:8" ht="71.25" customHeight="1">
      <c r="A4" s="5" t="s">
        <v>434</v>
      </c>
      <c r="B4" s="5" t="s">
        <v>1971</v>
      </c>
      <c r="C4" s="737" t="s">
        <v>1972</v>
      </c>
      <c r="D4" s="5"/>
      <c r="E4" s="738" t="s">
        <v>1973</v>
      </c>
      <c r="F4" s="737" t="s">
        <v>1974</v>
      </c>
      <c r="G4" s="5" t="s">
        <v>399</v>
      </c>
      <c r="H4" s="737" t="s">
        <v>1975</v>
      </c>
    </row>
    <row r="5" spans="1:8" ht="31.5" customHeight="1">
      <c r="A5" s="1283">
        <v>1</v>
      </c>
      <c r="B5" s="1284" t="s">
        <v>2449</v>
      </c>
      <c r="C5" s="1282">
        <v>0.15</v>
      </c>
      <c r="D5" s="310">
        <v>1</v>
      </c>
      <c r="E5" s="270" t="s">
        <v>2450</v>
      </c>
      <c r="F5" s="278">
        <f>1/10</f>
        <v>0.1</v>
      </c>
      <c r="G5" s="1"/>
      <c r="H5" s="279">
        <f>F5*G5</f>
        <v>0</v>
      </c>
    </row>
    <row r="6" spans="1:8" ht="38.25" customHeight="1">
      <c r="A6" s="1283"/>
      <c r="B6" s="1284"/>
      <c r="C6" s="1282"/>
      <c r="D6" s="310">
        <v>2</v>
      </c>
      <c r="E6" s="270" t="s">
        <v>1977</v>
      </c>
      <c r="F6" s="278">
        <f>2.5/10</f>
        <v>0.25</v>
      </c>
      <c r="G6" s="1"/>
      <c r="H6" s="279">
        <f>F6*G6</f>
        <v>0</v>
      </c>
    </row>
    <row r="7" spans="1:8" ht="45.75" customHeight="1">
      <c r="A7" s="1283"/>
      <c r="B7" s="1284"/>
      <c r="C7" s="1282"/>
      <c r="D7" s="310">
        <v>3</v>
      </c>
      <c r="E7" s="277" t="s">
        <v>2200</v>
      </c>
      <c r="F7" s="278">
        <f>3/10</f>
        <v>0.3</v>
      </c>
      <c r="G7" s="1"/>
      <c r="H7" s="279">
        <f>F7*G7</f>
        <v>0</v>
      </c>
    </row>
    <row r="8" spans="1:8" ht="39" customHeight="1">
      <c r="A8" s="1283"/>
      <c r="B8" s="1284"/>
      <c r="C8" s="1282"/>
      <c r="D8" s="310">
        <v>4</v>
      </c>
      <c r="E8" s="277" t="s">
        <v>2452</v>
      </c>
      <c r="F8" s="278">
        <f>3.5/10</f>
        <v>0.35</v>
      </c>
      <c r="G8" s="1"/>
      <c r="H8" s="279">
        <f>F8*G8</f>
        <v>0</v>
      </c>
    </row>
    <row r="9" spans="1:8" ht="16.5" customHeight="1">
      <c r="A9" s="87"/>
      <c r="B9" s="88" t="s">
        <v>1982</v>
      </c>
      <c r="C9" s="280"/>
      <c r="D9" s="89">
        <f>SUM(D5:D8)</f>
        <v>10</v>
      </c>
      <c r="E9" s="90"/>
      <c r="F9" s="280">
        <f>SUM(F5:F8)</f>
        <v>0.99999999999999989</v>
      </c>
      <c r="G9" s="280">
        <f>SUM(G5:G8)</f>
        <v>0</v>
      </c>
      <c r="H9" s="280">
        <f>C5*SUM(H5:H8)</f>
        <v>0</v>
      </c>
    </row>
    <row r="10" spans="1:8" ht="39.75" customHeight="1">
      <c r="A10" s="1283">
        <v>2</v>
      </c>
      <c r="B10" s="1284" t="s">
        <v>2301</v>
      </c>
      <c r="C10" s="1282">
        <v>0.22</v>
      </c>
      <c r="D10" s="310">
        <v>1</v>
      </c>
      <c r="E10" s="739" t="s">
        <v>2456</v>
      </c>
      <c r="F10" s="278">
        <f>6/25</f>
        <v>0.24</v>
      </c>
      <c r="G10" s="1"/>
      <c r="H10" s="279">
        <f t="shared" ref="H10:H15" si="0">F10*G10</f>
        <v>0</v>
      </c>
    </row>
    <row r="11" spans="1:8" ht="63.75" customHeight="1">
      <c r="A11" s="1283"/>
      <c r="B11" s="1284"/>
      <c r="C11" s="1282"/>
      <c r="D11" s="310">
        <v>2</v>
      </c>
      <c r="E11" s="739" t="s">
        <v>2201</v>
      </c>
      <c r="F11" s="278">
        <f>5/25</f>
        <v>0.2</v>
      </c>
      <c r="G11" s="1"/>
      <c r="H11" s="279">
        <f t="shared" si="0"/>
        <v>0</v>
      </c>
    </row>
    <row r="12" spans="1:8" ht="84" customHeight="1">
      <c r="A12" s="1283"/>
      <c r="B12" s="1284"/>
      <c r="C12" s="1282"/>
      <c r="D12" s="310">
        <v>4</v>
      </c>
      <c r="E12" s="2" t="s">
        <v>2202</v>
      </c>
      <c r="F12" s="278">
        <f>5/25</f>
        <v>0.2</v>
      </c>
      <c r="G12" s="1"/>
      <c r="H12" s="279">
        <f t="shared" si="0"/>
        <v>0</v>
      </c>
    </row>
    <row r="13" spans="1:8" ht="51.75" customHeight="1">
      <c r="A13" s="1283"/>
      <c r="B13" s="1284"/>
      <c r="C13" s="1282"/>
      <c r="D13" s="310">
        <v>5</v>
      </c>
      <c r="E13" s="86" t="s">
        <v>2203</v>
      </c>
      <c r="F13" s="278">
        <f>5/25</f>
        <v>0.2</v>
      </c>
      <c r="G13" s="1"/>
      <c r="H13" s="279">
        <f t="shared" si="0"/>
        <v>0</v>
      </c>
    </row>
    <row r="14" spans="1:8" ht="37.5" customHeight="1">
      <c r="A14" s="1283"/>
      <c r="B14" s="1284"/>
      <c r="C14" s="1282"/>
      <c r="D14" s="310">
        <v>6</v>
      </c>
      <c r="E14" s="2" t="s">
        <v>1785</v>
      </c>
      <c r="F14" s="278">
        <f>2/25</f>
        <v>0.08</v>
      </c>
      <c r="G14" s="733"/>
      <c r="H14" s="768">
        <f t="shared" si="0"/>
        <v>0</v>
      </c>
    </row>
    <row r="15" spans="1:8" ht="36.75" customHeight="1">
      <c r="A15" s="1283"/>
      <c r="B15" s="1284"/>
      <c r="C15" s="1282"/>
      <c r="D15" s="310">
        <v>7</v>
      </c>
      <c r="E15" s="2" t="s">
        <v>469</v>
      </c>
      <c r="F15" s="278">
        <f>2/25</f>
        <v>0.08</v>
      </c>
      <c r="G15" s="733"/>
      <c r="H15" s="768">
        <f t="shared" si="0"/>
        <v>0</v>
      </c>
    </row>
    <row r="16" spans="1:8" ht="15.75" customHeight="1">
      <c r="A16" s="87"/>
      <c r="B16" s="88" t="s">
        <v>1982</v>
      </c>
      <c r="C16" s="280"/>
      <c r="D16" s="89">
        <f>SUM(D10:D15)</f>
        <v>25</v>
      </c>
      <c r="E16" s="90"/>
      <c r="F16" s="280">
        <f>SUM(F10:F15)</f>
        <v>1</v>
      </c>
      <c r="G16" s="280">
        <f>SUM(G10:G15)</f>
        <v>0</v>
      </c>
      <c r="H16" s="280">
        <f>C10*SUM(H10:H15)</f>
        <v>0</v>
      </c>
    </row>
    <row r="17" spans="1:8" ht="57.75" customHeight="1">
      <c r="A17" s="1280">
        <v>3</v>
      </c>
      <c r="B17" s="1281" t="s">
        <v>2469</v>
      </c>
      <c r="C17" s="1282">
        <v>0.21</v>
      </c>
      <c r="D17" s="310">
        <v>1</v>
      </c>
      <c r="E17" s="277" t="s">
        <v>2204</v>
      </c>
      <c r="F17" s="278">
        <f>3/21</f>
        <v>0.14285714285714285</v>
      </c>
      <c r="G17" s="1"/>
      <c r="H17" s="768">
        <f t="shared" ref="H17:H22" si="1">F17*G17</f>
        <v>0</v>
      </c>
    </row>
    <row r="18" spans="1:8" ht="71.25" customHeight="1">
      <c r="A18" s="1280"/>
      <c r="B18" s="1281"/>
      <c r="C18" s="1282"/>
      <c r="D18" s="310">
        <v>2</v>
      </c>
      <c r="E18" s="277" t="s">
        <v>2205</v>
      </c>
      <c r="F18" s="278">
        <f>5/21</f>
        <v>0.23809523809523808</v>
      </c>
      <c r="G18" s="1"/>
      <c r="H18" s="768">
        <f t="shared" si="1"/>
        <v>0</v>
      </c>
    </row>
    <row r="19" spans="1:8" ht="54.75" customHeight="1">
      <c r="A19" s="1280"/>
      <c r="B19" s="1281"/>
      <c r="C19" s="1282"/>
      <c r="D19" s="310">
        <v>3</v>
      </c>
      <c r="E19" s="277" t="s">
        <v>2206</v>
      </c>
      <c r="F19" s="278">
        <f>5/21</f>
        <v>0.23809523809523808</v>
      </c>
      <c r="G19" s="1"/>
      <c r="H19" s="768">
        <f t="shared" si="1"/>
        <v>0</v>
      </c>
    </row>
    <row r="20" spans="1:8" ht="37.5" customHeight="1">
      <c r="A20" s="1280"/>
      <c r="B20" s="1281"/>
      <c r="C20" s="1282"/>
      <c r="D20" s="310">
        <v>4</v>
      </c>
      <c r="E20" s="277" t="s">
        <v>2207</v>
      </c>
      <c r="F20" s="278">
        <f>4/21</f>
        <v>0.19047619047619047</v>
      </c>
      <c r="G20" s="1"/>
      <c r="H20" s="768">
        <f t="shared" si="1"/>
        <v>0</v>
      </c>
    </row>
    <row r="21" spans="1:8" ht="47.25" customHeight="1">
      <c r="A21" s="1280"/>
      <c r="B21" s="1281"/>
      <c r="C21" s="1282"/>
      <c r="D21" s="310">
        <v>5</v>
      </c>
      <c r="E21" s="277" t="s">
        <v>2208</v>
      </c>
      <c r="F21" s="278">
        <f>2/21</f>
        <v>9.5238095238095233E-2</v>
      </c>
      <c r="G21" s="1"/>
      <c r="H21" s="768">
        <f t="shared" si="1"/>
        <v>0</v>
      </c>
    </row>
    <row r="22" spans="1:8" ht="43.5" customHeight="1">
      <c r="A22" s="1280"/>
      <c r="B22" s="1281"/>
      <c r="C22" s="1282"/>
      <c r="D22" s="310">
        <v>6</v>
      </c>
      <c r="E22" s="277" t="s">
        <v>2209</v>
      </c>
      <c r="F22" s="278">
        <f>2/21</f>
        <v>9.5238095238095233E-2</v>
      </c>
      <c r="G22" s="1"/>
      <c r="H22" s="768">
        <f t="shared" si="1"/>
        <v>0</v>
      </c>
    </row>
    <row r="23" spans="1:8" ht="26.25" customHeight="1">
      <c r="A23" s="87"/>
      <c r="B23" s="88" t="s">
        <v>1982</v>
      </c>
      <c r="C23" s="280"/>
      <c r="D23" s="89">
        <f>SUM(D17:D22)</f>
        <v>21</v>
      </c>
      <c r="E23" s="90"/>
      <c r="F23" s="280">
        <f>SUM(F17:F22)</f>
        <v>1</v>
      </c>
      <c r="G23" s="280">
        <f>SUM(G17:G22)</f>
        <v>0</v>
      </c>
      <c r="H23" s="280">
        <f>C16*SUM(H16:H22)</f>
        <v>0</v>
      </c>
    </row>
    <row r="24" spans="1:8" ht="52.5" customHeight="1">
      <c r="A24" s="1283">
        <v>4</v>
      </c>
      <c r="B24" s="1284" t="s">
        <v>1886</v>
      </c>
      <c r="C24" s="1282">
        <v>0.21</v>
      </c>
      <c r="D24" s="310">
        <v>1</v>
      </c>
      <c r="E24" s="2" t="s">
        <v>1887</v>
      </c>
      <c r="F24" s="278">
        <f>4/21</f>
        <v>0.19047619047619047</v>
      </c>
      <c r="G24" s="1"/>
      <c r="H24" s="768">
        <f t="shared" ref="H24:H29" si="2">F24*G24</f>
        <v>0</v>
      </c>
    </row>
    <row r="25" spans="1:8" ht="86.25" customHeight="1">
      <c r="A25" s="1283"/>
      <c r="B25" s="1284"/>
      <c r="C25" s="1282"/>
      <c r="D25" s="310">
        <v>2</v>
      </c>
      <c r="E25" s="86" t="s">
        <v>1888</v>
      </c>
      <c r="F25" s="278">
        <f>4/21</f>
        <v>0.19047619047619047</v>
      </c>
      <c r="G25" s="1"/>
      <c r="H25" s="768">
        <f t="shared" si="2"/>
        <v>0</v>
      </c>
    </row>
    <row r="26" spans="1:8" ht="33.75" customHeight="1">
      <c r="A26" s="1283"/>
      <c r="B26" s="1284"/>
      <c r="C26" s="1282"/>
      <c r="D26" s="310">
        <v>3</v>
      </c>
      <c r="E26" s="2" t="s">
        <v>1889</v>
      </c>
      <c r="F26" s="278">
        <f>4/21</f>
        <v>0.19047619047619047</v>
      </c>
      <c r="G26" s="1"/>
      <c r="H26" s="768">
        <f t="shared" si="2"/>
        <v>0</v>
      </c>
    </row>
    <row r="27" spans="1:8" ht="25.5" customHeight="1">
      <c r="A27" s="1283"/>
      <c r="B27" s="1284"/>
      <c r="C27" s="1282"/>
      <c r="D27" s="310">
        <v>4</v>
      </c>
      <c r="E27" s="988" t="s">
        <v>1890</v>
      </c>
      <c r="F27" s="278">
        <f>4/21</f>
        <v>0.19047619047619047</v>
      </c>
      <c r="G27" s="1"/>
      <c r="H27" s="768">
        <f t="shared" si="2"/>
        <v>0</v>
      </c>
    </row>
    <row r="28" spans="1:8" ht="35.25" customHeight="1">
      <c r="A28" s="1283"/>
      <c r="B28" s="1284"/>
      <c r="C28" s="1282"/>
      <c r="D28" s="310">
        <v>5</v>
      </c>
      <c r="E28" s="2" t="s">
        <v>1891</v>
      </c>
      <c r="F28" s="278">
        <f>2.5/21</f>
        <v>0.11904761904761904</v>
      </c>
      <c r="G28" s="1"/>
      <c r="H28" s="768">
        <f t="shared" si="2"/>
        <v>0</v>
      </c>
    </row>
    <row r="29" spans="1:8" ht="69.75" customHeight="1">
      <c r="A29" s="1283"/>
      <c r="B29" s="1284"/>
      <c r="C29" s="1282"/>
      <c r="D29" s="310">
        <v>6</v>
      </c>
      <c r="E29" s="2" t="s">
        <v>1892</v>
      </c>
      <c r="F29" s="278">
        <f>2.5/21</f>
        <v>0.11904761904761904</v>
      </c>
      <c r="G29" s="1"/>
      <c r="H29" s="768">
        <f t="shared" si="2"/>
        <v>0</v>
      </c>
    </row>
    <row r="30" spans="1:8">
      <c r="A30" s="87"/>
      <c r="B30" s="88" t="s">
        <v>1982</v>
      </c>
      <c r="C30" s="280"/>
      <c r="D30" s="89">
        <f>SUM(D24:D29)</f>
        <v>21</v>
      </c>
      <c r="E30" s="90"/>
      <c r="F30" s="280">
        <f>SUM(F24:F29)</f>
        <v>1</v>
      </c>
      <c r="G30" s="280">
        <f>SUM(G25:G29)</f>
        <v>0</v>
      </c>
      <c r="H30" s="280">
        <f>C23*SUM(H23:H29)</f>
        <v>0</v>
      </c>
    </row>
    <row r="31" spans="1:8" ht="99" customHeight="1">
      <c r="A31" s="1283">
        <v>5</v>
      </c>
      <c r="B31" s="1284" t="s">
        <v>1893</v>
      </c>
      <c r="C31" s="1282">
        <v>0.21</v>
      </c>
      <c r="D31" s="310">
        <v>1</v>
      </c>
      <c r="E31" s="86" t="s">
        <v>2210</v>
      </c>
      <c r="F31" s="278">
        <f>5/36</f>
        <v>0.1388888888888889</v>
      </c>
      <c r="G31" s="1"/>
      <c r="H31" s="279">
        <f>F24*G24</f>
        <v>0</v>
      </c>
    </row>
    <row r="32" spans="1:8" ht="71.25" customHeight="1">
      <c r="A32" s="1283"/>
      <c r="B32" s="1284"/>
      <c r="C32" s="1282"/>
      <c r="D32" s="310">
        <v>2</v>
      </c>
      <c r="E32" s="86" t="s">
        <v>2211</v>
      </c>
      <c r="F32" s="278">
        <f>5/36</f>
        <v>0.1388888888888889</v>
      </c>
      <c r="G32" s="1"/>
      <c r="H32" s="279">
        <f>F25*G25</f>
        <v>0</v>
      </c>
    </row>
    <row r="33" spans="1:10" ht="68.25" customHeight="1">
      <c r="A33" s="1283"/>
      <c r="B33" s="1284"/>
      <c r="C33" s="1282"/>
      <c r="D33" s="310">
        <v>3</v>
      </c>
      <c r="E33" s="86" t="s">
        <v>2212</v>
      </c>
      <c r="F33" s="278">
        <f>5/36</f>
        <v>0.1388888888888889</v>
      </c>
      <c r="G33" s="1"/>
      <c r="H33" s="279">
        <f>F26*G26</f>
        <v>0</v>
      </c>
    </row>
    <row r="34" spans="1:10" ht="84" customHeight="1">
      <c r="A34" s="1283"/>
      <c r="B34" s="1284"/>
      <c r="C34" s="1282"/>
      <c r="D34" s="310">
        <v>4</v>
      </c>
      <c r="E34" s="282" t="s">
        <v>2213</v>
      </c>
      <c r="F34" s="278">
        <f>5/36</f>
        <v>0.1388888888888889</v>
      </c>
      <c r="G34" s="1"/>
      <c r="H34" s="279">
        <f>F27*G27</f>
        <v>0</v>
      </c>
    </row>
    <row r="35" spans="1:10" ht="84" customHeight="1">
      <c r="A35" s="1283"/>
      <c r="B35" s="1284"/>
      <c r="C35" s="1282"/>
      <c r="D35" s="310">
        <v>5</v>
      </c>
      <c r="E35" s="2" t="s">
        <v>1898</v>
      </c>
      <c r="F35" s="278">
        <f>4/36</f>
        <v>0.1111111111111111</v>
      </c>
      <c r="G35" s="1"/>
      <c r="H35" s="279">
        <f>F28*G28</f>
        <v>0</v>
      </c>
    </row>
    <row r="36" spans="1:10" ht="100.5" customHeight="1">
      <c r="A36" s="1283"/>
      <c r="B36" s="1284"/>
      <c r="C36" s="1282"/>
      <c r="D36" s="310">
        <v>6</v>
      </c>
      <c r="E36" s="2" t="s">
        <v>2214</v>
      </c>
      <c r="F36" s="278">
        <f>4/36</f>
        <v>0.1111111111111111</v>
      </c>
      <c r="G36" s="1"/>
      <c r="H36" s="279">
        <f>F27*G27</f>
        <v>0</v>
      </c>
    </row>
    <row r="37" spans="1:10" ht="53.25" customHeight="1">
      <c r="A37" s="1283"/>
      <c r="B37" s="1284"/>
      <c r="C37" s="1282"/>
      <c r="D37" s="310">
        <v>7</v>
      </c>
      <c r="E37" s="2" t="s">
        <v>2215</v>
      </c>
      <c r="F37" s="278">
        <f>4/36</f>
        <v>0.1111111111111111</v>
      </c>
      <c r="G37" s="1"/>
      <c r="H37" s="279">
        <f>F28*G28</f>
        <v>0</v>
      </c>
    </row>
    <row r="38" spans="1:10" ht="110.25">
      <c r="A38" s="1283"/>
      <c r="B38" s="1284"/>
      <c r="C38" s="1282"/>
      <c r="D38" s="310">
        <v>8</v>
      </c>
      <c r="E38" s="2" t="s">
        <v>1899</v>
      </c>
      <c r="F38" s="278">
        <f>4/36</f>
        <v>0.1111111111111111</v>
      </c>
      <c r="G38" s="1"/>
      <c r="H38" s="279">
        <f>F29*G29</f>
        <v>0</v>
      </c>
    </row>
    <row r="39" spans="1:10">
      <c r="A39" s="87"/>
      <c r="B39" s="88" t="s">
        <v>1982</v>
      </c>
      <c r="C39" s="280"/>
      <c r="D39" s="89">
        <f>SUM(D31:D38)</f>
        <v>36</v>
      </c>
      <c r="E39" s="90"/>
      <c r="F39" s="280">
        <f>SUM(F31:F38)</f>
        <v>1.0000000000000002</v>
      </c>
      <c r="G39" s="280">
        <f>SUM(G32:G38)</f>
        <v>0</v>
      </c>
      <c r="H39" s="280">
        <f>C24*SUM(H31:H38)</f>
        <v>0</v>
      </c>
    </row>
    <row r="40" spans="1:10" ht="16.5">
      <c r="A40" s="1285" t="s">
        <v>443</v>
      </c>
      <c r="B40" s="1286"/>
      <c r="C40" s="280">
        <f>SUM(C5:C39)</f>
        <v>0.99999999999999989</v>
      </c>
      <c r="D40" s="93"/>
      <c r="E40" s="90"/>
      <c r="F40" s="280"/>
      <c r="G40" s="280"/>
      <c r="H40" s="280">
        <f>SUM(H9,H16,H23,H30,H39)</f>
        <v>0</v>
      </c>
    </row>
    <row r="41" spans="1:10" ht="16.5">
      <c r="A41" s="1277" t="s">
        <v>444</v>
      </c>
      <c r="B41" s="1278"/>
      <c r="C41" s="1279"/>
      <c r="D41" s="634"/>
      <c r="E41" s="94"/>
      <c r="F41" s="284"/>
      <c r="G41" s="954"/>
      <c r="H41" s="737" t="str">
        <f>IF(H40&lt;=0.5,"низький",IF(H40&lt;=0.75,"середній",(IF(H40&lt;=0.95,"достатній",(IF(H75&lt;=1,"високий"))))))</f>
        <v>низький</v>
      </c>
    </row>
    <row r="42" spans="1:10" s="25" customFormat="1" ht="17.25">
      <c r="A42" s="288" t="s">
        <v>595</v>
      </c>
      <c r="B42" s="289"/>
      <c r="C42" s="59"/>
      <c r="E42" s="642"/>
      <c r="F42" s="643"/>
      <c r="G42" s="112"/>
    </row>
    <row r="43" spans="1:10" s="25" customFormat="1">
      <c r="A43" s="644" t="s">
        <v>596</v>
      </c>
      <c r="B43" s="289"/>
      <c r="C43" s="59"/>
      <c r="E43" s="642"/>
      <c r="F43" s="643"/>
      <c r="G43" s="112"/>
    </row>
    <row r="44" spans="1:10" s="25" customFormat="1">
      <c r="A44" s="288" t="s">
        <v>597</v>
      </c>
      <c r="B44" s="289"/>
      <c r="C44" s="59"/>
      <c r="E44" s="642"/>
      <c r="F44" s="643"/>
      <c r="G44" s="112"/>
    </row>
    <row r="45" spans="1:10" s="25" customFormat="1">
      <c r="A45" s="288" t="s">
        <v>792</v>
      </c>
      <c r="B45" s="289"/>
      <c r="C45" s="59"/>
      <c r="E45" s="642"/>
      <c r="F45" s="643"/>
      <c r="G45" s="112"/>
    </row>
    <row r="46" spans="1:10" s="25" customFormat="1">
      <c r="A46" s="288" t="s">
        <v>793</v>
      </c>
      <c r="B46" s="289"/>
      <c r="C46" s="59"/>
      <c r="E46" s="642"/>
      <c r="F46" s="643"/>
      <c r="G46" s="112"/>
      <c r="J46" s="25" t="s">
        <v>2216</v>
      </c>
    </row>
    <row r="47" spans="1:10" s="25" customFormat="1">
      <c r="A47" s="288" t="s">
        <v>794</v>
      </c>
      <c r="B47" s="289"/>
      <c r="C47" s="59"/>
      <c r="E47" s="642"/>
      <c r="F47" s="643"/>
      <c r="G47" s="112"/>
      <c r="H47" s="25" t="s">
        <v>2217</v>
      </c>
    </row>
    <row r="48" spans="1:10" s="25" customFormat="1">
      <c r="A48" s="59"/>
      <c r="B48" s="59" t="s">
        <v>20</v>
      </c>
      <c r="C48" s="59"/>
      <c r="D48" s="59"/>
      <c r="E48" s="59"/>
      <c r="F48" s="59"/>
      <c r="G48" s="59"/>
    </row>
    <row r="49" spans="1:7" s="25" customFormat="1">
      <c r="A49" s="645"/>
      <c r="B49" s="645"/>
      <c r="C49" s="645"/>
      <c r="D49" s="645"/>
      <c r="E49" s="645"/>
      <c r="F49" s="645"/>
      <c r="G49" s="645"/>
    </row>
    <row r="50" spans="1:7" s="25" customFormat="1">
      <c r="A50" s="645"/>
      <c r="B50" s="645"/>
      <c r="C50" s="645"/>
      <c r="D50" s="645"/>
      <c r="E50" s="645"/>
      <c r="F50" s="645"/>
      <c r="G50" s="645"/>
    </row>
    <row r="51" spans="1:7" s="25" customFormat="1">
      <c r="A51" s="645"/>
      <c r="B51" s="645"/>
      <c r="C51" s="645"/>
      <c r="D51" s="645"/>
      <c r="E51" s="645"/>
      <c r="F51" s="645"/>
      <c r="G51" s="645"/>
    </row>
    <row r="52" spans="1:7" s="25" customFormat="1">
      <c r="A52" s="645"/>
      <c r="B52" s="645"/>
      <c r="C52" s="645"/>
      <c r="D52" s="645"/>
      <c r="E52" s="645"/>
      <c r="F52" s="645"/>
      <c r="G52" s="645"/>
    </row>
    <row r="53" spans="1:7" s="25" customFormat="1">
      <c r="A53" s="645"/>
      <c r="B53" s="645"/>
      <c r="C53" s="645"/>
      <c r="D53" s="645"/>
      <c r="E53" s="645"/>
      <c r="F53" s="645"/>
      <c r="G53" s="645"/>
    </row>
    <row r="54" spans="1:7" s="25" customFormat="1">
      <c r="A54" s="645"/>
      <c r="B54" s="645"/>
      <c r="C54" s="645"/>
      <c r="D54" s="645"/>
      <c r="E54" s="645"/>
      <c r="F54" s="645"/>
      <c r="G54" s="645"/>
    </row>
    <row r="55" spans="1:7" s="25" customFormat="1">
      <c r="A55" s="645"/>
      <c r="B55" s="645"/>
      <c r="C55" s="645"/>
      <c r="D55" s="645"/>
      <c r="E55" s="645"/>
      <c r="F55" s="645"/>
      <c r="G55" s="645"/>
    </row>
    <row r="56" spans="1:7" s="25" customFormat="1">
      <c r="A56" s="645"/>
      <c r="B56" s="645"/>
      <c r="C56" s="645"/>
      <c r="D56" s="645"/>
      <c r="E56" s="645"/>
      <c r="F56" s="645"/>
      <c r="G56" s="645"/>
    </row>
    <row r="57" spans="1:7" s="25" customFormat="1">
      <c r="A57" s="645"/>
      <c r="B57" s="645"/>
      <c r="C57" s="645"/>
      <c r="D57" s="645"/>
      <c r="E57" s="645"/>
      <c r="F57" s="645"/>
      <c r="G57" s="645"/>
    </row>
    <row r="58" spans="1:7" s="25" customFormat="1">
      <c r="A58" s="645"/>
      <c r="B58" s="645"/>
      <c r="C58" s="645"/>
      <c r="D58" s="645"/>
      <c r="E58" s="645"/>
      <c r="F58" s="645"/>
      <c r="G58" s="645"/>
    </row>
    <row r="59" spans="1:7" s="25" customFormat="1">
      <c r="A59" s="645"/>
      <c r="B59" s="645"/>
      <c r="C59" s="645"/>
      <c r="D59" s="645"/>
      <c r="E59" s="645"/>
      <c r="F59" s="645"/>
      <c r="G59" s="645"/>
    </row>
    <row r="60" spans="1:7" s="25" customFormat="1">
      <c r="A60" s="645"/>
      <c r="B60" s="645"/>
      <c r="C60" s="645"/>
      <c r="D60" s="645"/>
      <c r="E60" s="645"/>
      <c r="F60" s="645"/>
      <c r="G60" s="645"/>
    </row>
    <row r="61" spans="1:7" s="25" customFormat="1">
      <c r="A61" s="645"/>
      <c r="B61" s="645"/>
      <c r="C61" s="645"/>
      <c r="D61" s="645"/>
      <c r="E61" s="645"/>
      <c r="F61" s="645"/>
      <c r="G61" s="645"/>
    </row>
    <row r="62" spans="1:7" s="25" customFormat="1">
      <c r="A62" s="645"/>
      <c r="B62" s="645"/>
      <c r="C62" s="645"/>
      <c r="D62" s="645"/>
      <c r="E62" s="645"/>
      <c r="F62" s="645"/>
      <c r="G62" s="645"/>
    </row>
    <row r="63" spans="1:7" s="25" customFormat="1">
      <c r="A63" s="59"/>
      <c r="B63" s="646" t="s">
        <v>2418</v>
      </c>
      <c r="C63" s="646"/>
      <c r="D63" s="646"/>
      <c r="E63" s="646"/>
      <c r="F63" s="646"/>
      <c r="G63" s="646"/>
    </row>
    <row r="64" spans="1:7" s="25" customFormat="1">
      <c r="A64" s="59"/>
      <c r="B64" s="391"/>
      <c r="C64" s="391"/>
      <c r="D64" s="391"/>
      <c r="E64" s="391"/>
      <c r="F64" s="391"/>
      <c r="G64" s="391"/>
    </row>
    <row r="65" spans="1:7" s="25" customFormat="1">
      <c r="A65" s="59"/>
      <c r="B65" s="646" t="s">
        <v>22</v>
      </c>
      <c r="C65" s="646"/>
      <c r="D65" s="646"/>
      <c r="E65" s="646"/>
      <c r="F65" s="646"/>
      <c r="G65" s="646"/>
    </row>
    <row r="66" spans="1:7" s="25" customFormat="1">
      <c r="A66" s="59"/>
      <c r="B66" s="391"/>
      <c r="C66" s="391"/>
      <c r="D66" s="391"/>
      <c r="E66" s="391"/>
      <c r="F66" s="391"/>
      <c r="G66" s="391"/>
    </row>
    <row r="67" spans="1:7" s="25" customFormat="1">
      <c r="A67" s="59"/>
      <c r="B67" s="646" t="s">
        <v>23</v>
      </c>
      <c r="C67" s="646"/>
      <c r="D67" s="646"/>
      <c r="E67" s="646"/>
      <c r="F67" s="646"/>
      <c r="G67" s="646"/>
    </row>
    <row r="68" spans="1:7" s="25" customFormat="1">
      <c r="A68" s="59"/>
      <c r="B68" s="646" t="s">
        <v>24</v>
      </c>
      <c r="C68" s="646"/>
      <c r="D68" s="646"/>
      <c r="E68" s="646"/>
      <c r="F68" s="646"/>
      <c r="G68" s="646"/>
    </row>
    <row r="69" spans="1:7" s="25" customFormat="1">
      <c r="A69" s="289"/>
      <c r="B69" s="289"/>
      <c r="E69" s="332"/>
    </row>
    <row r="70" spans="1:7" s="25" customFormat="1">
      <c r="A70" s="290"/>
      <c r="B70" s="289"/>
      <c r="C70" s="332"/>
      <c r="E70" s="332"/>
    </row>
    <row r="71" spans="1:7" s="25" customFormat="1">
      <c r="A71" s="290"/>
      <c r="B71" s="289"/>
      <c r="C71" s="332"/>
      <c r="E71" s="332"/>
    </row>
    <row r="72" spans="1:7" s="25" customFormat="1">
      <c r="A72" s="273"/>
      <c r="B72" s="274"/>
      <c r="C72" s="275"/>
      <c r="D72" s="736"/>
      <c r="E72" s="8"/>
      <c r="F72" s="276"/>
      <c r="G72" s="273"/>
    </row>
    <row r="73" spans="1:7" s="25" customFormat="1">
      <c r="A73" s="273"/>
      <c r="B73" s="274"/>
      <c r="C73" s="275"/>
      <c r="D73" s="736"/>
      <c r="E73" s="8"/>
      <c r="F73" s="276"/>
      <c r="G73" s="273"/>
    </row>
    <row r="74" spans="1:7" s="25" customFormat="1">
      <c r="A74" s="273"/>
      <c r="B74" s="274"/>
      <c r="C74" s="275"/>
      <c r="D74" s="736"/>
      <c r="E74" s="8"/>
      <c r="F74" s="276"/>
      <c r="G74" s="273"/>
    </row>
    <row r="75" spans="1:7" s="25" customFormat="1">
      <c r="A75" s="273"/>
      <c r="B75" s="274"/>
      <c r="C75" s="275"/>
      <c r="D75" s="736"/>
      <c r="E75" s="8"/>
      <c r="F75" s="276"/>
      <c r="G75" s="273"/>
    </row>
    <row r="76" spans="1:7" s="25" customFormat="1">
      <c r="A76" s="273"/>
      <c r="B76" s="274"/>
      <c r="C76" s="275"/>
      <c r="D76" s="736"/>
      <c r="E76" s="8"/>
      <c r="F76" s="276"/>
      <c r="G76" s="273"/>
    </row>
    <row r="77" spans="1:7" s="25" customFormat="1">
      <c r="A77" s="273"/>
      <c r="B77" s="274"/>
      <c r="C77" s="275"/>
      <c r="D77" s="736"/>
      <c r="E77" s="8"/>
      <c r="F77" s="276"/>
      <c r="G77" s="273"/>
    </row>
    <row r="78" spans="1:7" s="25" customFormat="1">
      <c r="A78" s="273"/>
      <c r="B78" s="274"/>
      <c r="C78" s="275"/>
      <c r="D78" s="736"/>
      <c r="E78" s="8"/>
      <c r="F78" s="276"/>
      <c r="G78" s="273"/>
    </row>
  </sheetData>
  <mergeCells count="19">
    <mergeCell ref="A10:A15"/>
    <mergeCell ref="B10:B15"/>
    <mergeCell ref="C10:C15"/>
    <mergeCell ref="A40:B40"/>
    <mergeCell ref="A1:H1"/>
    <mergeCell ref="A2:H2"/>
    <mergeCell ref="A5:A8"/>
    <mergeCell ref="B5:B8"/>
    <mergeCell ref="C5:C8"/>
    <mergeCell ref="A41:C41"/>
    <mergeCell ref="A17:A22"/>
    <mergeCell ref="B17:B22"/>
    <mergeCell ref="C17:C22"/>
    <mergeCell ref="A24:A29"/>
    <mergeCell ref="B24:B29"/>
    <mergeCell ref="C24:C29"/>
    <mergeCell ref="A31:A38"/>
    <mergeCell ref="B31:B38"/>
    <mergeCell ref="C31:C38"/>
  </mergeCells>
  <phoneticPr fontId="4" type="noConversion"/>
  <pageMargins left="0.7" right="0.7" top="0.75" bottom="0.75"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dimension ref="A1:H113"/>
  <sheetViews>
    <sheetView workbookViewId="0">
      <selection activeCell="H76" sqref="H76"/>
    </sheetView>
  </sheetViews>
  <sheetFormatPr defaultRowHeight="15.75"/>
  <cols>
    <col min="1" max="1" width="6.140625" style="273" customWidth="1"/>
    <col min="2" max="2" width="25.140625" style="274" customWidth="1"/>
    <col min="3" max="3" width="13" style="275" customWidth="1"/>
    <col min="4" max="4" width="6.42578125" style="736" customWidth="1"/>
    <col min="5" max="5" width="42.28515625" style="8" customWidth="1"/>
    <col min="6" max="6" width="16.42578125" style="276" customWidth="1"/>
    <col min="7" max="7" width="17.7109375" style="273" customWidth="1"/>
    <col min="8" max="8" width="13.7109375" style="275" customWidth="1"/>
    <col min="9" max="16384" width="9.140625" style="273"/>
  </cols>
  <sheetData>
    <row r="1" spans="1:8" ht="15.75" customHeight="1">
      <c r="A1" s="1186" t="s">
        <v>446</v>
      </c>
      <c r="B1" s="1186"/>
      <c r="C1" s="1186"/>
      <c r="D1" s="1186"/>
      <c r="E1" s="1186"/>
      <c r="F1" s="1186"/>
      <c r="G1" s="1186"/>
      <c r="H1" s="1186"/>
    </row>
    <row r="2" spans="1:8" ht="55.5" customHeight="1">
      <c r="A2" s="1186" t="s">
        <v>2448</v>
      </c>
      <c r="B2" s="1186"/>
      <c r="C2" s="1186"/>
      <c r="D2" s="1186"/>
      <c r="E2" s="1186"/>
      <c r="F2" s="1186"/>
      <c r="G2" s="1186"/>
      <c r="H2" s="1186"/>
    </row>
    <row r="3" spans="1:8" hidden="1"/>
    <row r="4" spans="1:8" ht="71.25" customHeight="1">
      <c r="A4" s="5" t="s">
        <v>434</v>
      </c>
      <c r="B4" s="5" t="s">
        <v>1971</v>
      </c>
      <c r="C4" s="737" t="s">
        <v>1972</v>
      </c>
      <c r="D4" s="5"/>
      <c r="E4" s="738" t="s">
        <v>1973</v>
      </c>
      <c r="F4" s="737" t="s">
        <v>1974</v>
      </c>
      <c r="G4" s="5" t="s">
        <v>399</v>
      </c>
      <c r="H4" s="737" t="s">
        <v>1975</v>
      </c>
    </row>
    <row r="5" spans="1:8" ht="31.5" customHeight="1">
      <c r="A5" s="1283">
        <v>1</v>
      </c>
      <c r="B5" s="1284" t="s">
        <v>2449</v>
      </c>
      <c r="C5" s="1282">
        <v>7.0000000000000007E-2</v>
      </c>
      <c r="D5" s="310">
        <v>1</v>
      </c>
      <c r="E5" s="270" t="s">
        <v>2450</v>
      </c>
      <c r="F5" s="278">
        <f>1/10</f>
        <v>0.1</v>
      </c>
      <c r="G5" s="1"/>
      <c r="H5" s="279">
        <f>F5*G5</f>
        <v>0</v>
      </c>
    </row>
    <row r="6" spans="1:8" ht="38.25" customHeight="1">
      <c r="A6" s="1283"/>
      <c r="B6" s="1284"/>
      <c r="C6" s="1282"/>
      <c r="D6" s="310">
        <v>2</v>
      </c>
      <c r="E6" s="270" t="s">
        <v>1977</v>
      </c>
      <c r="F6" s="278">
        <f>2.5/10</f>
        <v>0.25</v>
      </c>
      <c r="G6" s="1"/>
      <c r="H6" s="279">
        <f>F6*G6</f>
        <v>0</v>
      </c>
    </row>
    <row r="7" spans="1:8" ht="39.75" customHeight="1">
      <c r="A7" s="1283"/>
      <c r="B7" s="1284"/>
      <c r="C7" s="1282"/>
      <c r="D7" s="310">
        <v>3</v>
      </c>
      <c r="E7" s="277" t="s">
        <v>2451</v>
      </c>
      <c r="F7" s="278">
        <f>3/10</f>
        <v>0.3</v>
      </c>
      <c r="G7" s="1"/>
      <c r="H7" s="279">
        <f>F7*G7</f>
        <v>0</v>
      </c>
    </row>
    <row r="8" spans="1:8" ht="39" customHeight="1">
      <c r="A8" s="1283"/>
      <c r="B8" s="1284"/>
      <c r="C8" s="1282"/>
      <c r="D8" s="310">
        <v>4</v>
      </c>
      <c r="E8" s="277" t="s">
        <v>2452</v>
      </c>
      <c r="F8" s="278">
        <f>3.5/10</f>
        <v>0.35</v>
      </c>
      <c r="G8" s="1"/>
      <c r="H8" s="279">
        <f>F8*G8</f>
        <v>0</v>
      </c>
    </row>
    <row r="9" spans="1:8" ht="16.5" customHeight="1">
      <c r="A9" s="87"/>
      <c r="B9" s="88" t="s">
        <v>1982</v>
      </c>
      <c r="C9" s="280"/>
      <c r="D9" s="89">
        <f>SUM(D5:D8)</f>
        <v>10</v>
      </c>
      <c r="E9" s="90"/>
      <c r="F9" s="280">
        <f>SUM(F5:F8)</f>
        <v>0.99999999999999989</v>
      </c>
      <c r="G9" s="280">
        <f>SUM(G5:G8)</f>
        <v>0</v>
      </c>
      <c r="H9" s="280">
        <f>C5*SUM(H5:H8)</f>
        <v>0</v>
      </c>
    </row>
    <row r="10" spans="1:8" ht="50.25" customHeight="1">
      <c r="A10" s="1283">
        <v>2</v>
      </c>
      <c r="B10" s="1284" t="s">
        <v>62</v>
      </c>
      <c r="C10" s="1282">
        <v>0.05</v>
      </c>
      <c r="D10" s="653">
        <v>1</v>
      </c>
      <c r="E10" s="270" t="s">
        <v>2453</v>
      </c>
      <c r="F10" s="278">
        <f>3/6</f>
        <v>0.5</v>
      </c>
      <c r="G10" s="1"/>
      <c r="H10" s="279">
        <f>F10*G10</f>
        <v>0</v>
      </c>
    </row>
    <row r="11" spans="1:8" ht="37.5" customHeight="1">
      <c r="A11" s="1283"/>
      <c r="B11" s="1284"/>
      <c r="C11" s="1282"/>
      <c r="D11" s="653">
        <v>2</v>
      </c>
      <c r="E11" s="270" t="s">
        <v>2454</v>
      </c>
      <c r="F11" s="278">
        <f>1.5/6</f>
        <v>0.25</v>
      </c>
      <c r="G11" s="1"/>
      <c r="H11" s="279">
        <f>F11*G11</f>
        <v>0</v>
      </c>
    </row>
    <row r="12" spans="1:8" ht="33" customHeight="1">
      <c r="A12" s="1283"/>
      <c r="B12" s="1284"/>
      <c r="C12" s="1282"/>
      <c r="D12" s="653">
        <v>3</v>
      </c>
      <c r="E12" s="277" t="s">
        <v>2455</v>
      </c>
      <c r="F12" s="278">
        <f>1.5/6</f>
        <v>0.25</v>
      </c>
      <c r="G12" s="1"/>
      <c r="H12" s="279">
        <f>F12*G12</f>
        <v>0</v>
      </c>
    </row>
    <row r="13" spans="1:8" ht="16.5" customHeight="1">
      <c r="A13" s="87"/>
      <c r="B13" s="88" t="s">
        <v>1982</v>
      </c>
      <c r="C13" s="280"/>
      <c r="D13" s="89">
        <f>SUM(D10:D12)</f>
        <v>6</v>
      </c>
      <c r="E13" s="90"/>
      <c r="F13" s="280">
        <f>SUM(F10:F12)</f>
        <v>1</v>
      </c>
      <c r="G13" s="280">
        <f>SUM(G10:G12)</f>
        <v>0</v>
      </c>
      <c r="H13" s="280">
        <f>C11*SUM(H11:H12)</f>
        <v>0</v>
      </c>
    </row>
    <row r="14" spans="1:8" ht="39.75" customHeight="1">
      <c r="A14" s="1283">
        <v>3</v>
      </c>
      <c r="B14" s="1284" t="s">
        <v>2301</v>
      </c>
      <c r="C14" s="1282">
        <v>0.1</v>
      </c>
      <c r="D14" s="310">
        <v>1</v>
      </c>
      <c r="E14" s="739" t="s">
        <v>2456</v>
      </c>
      <c r="F14" s="278">
        <f>5/15</f>
        <v>0.33333333333333331</v>
      </c>
      <c r="G14" s="1"/>
      <c r="H14" s="279">
        <f>F14*G14</f>
        <v>0</v>
      </c>
    </row>
    <row r="15" spans="1:8" ht="63.75" customHeight="1">
      <c r="A15" s="1283"/>
      <c r="B15" s="1284"/>
      <c r="C15" s="1282"/>
      <c r="D15" s="310">
        <v>2</v>
      </c>
      <c r="E15" s="739" t="s">
        <v>2457</v>
      </c>
      <c r="F15" s="278">
        <f>4/15</f>
        <v>0.26666666666666666</v>
      </c>
      <c r="G15" s="1"/>
      <c r="H15" s="279">
        <f>F15*G15</f>
        <v>0</v>
      </c>
    </row>
    <row r="16" spans="1:8" ht="51.75" customHeight="1">
      <c r="A16" s="1283"/>
      <c r="B16" s="1284"/>
      <c r="C16" s="1282"/>
      <c r="D16" s="310">
        <v>3</v>
      </c>
      <c r="E16" s="86" t="s">
        <v>271</v>
      </c>
      <c r="F16" s="278">
        <f>4/15</f>
        <v>0.26666666666666666</v>
      </c>
      <c r="G16" s="1"/>
      <c r="H16" s="279">
        <f>F16*G16</f>
        <v>0</v>
      </c>
    </row>
    <row r="17" spans="1:8" ht="37.5" customHeight="1">
      <c r="A17" s="1283"/>
      <c r="B17" s="1284"/>
      <c r="C17" s="1282"/>
      <c r="D17" s="310">
        <v>4</v>
      </c>
      <c r="E17" s="2" t="s">
        <v>1785</v>
      </c>
      <c r="F17" s="278">
        <f>1/15</f>
        <v>6.6666666666666666E-2</v>
      </c>
      <c r="G17" s="733"/>
      <c r="H17" s="768">
        <f>F17*G17</f>
        <v>0</v>
      </c>
    </row>
    <row r="18" spans="1:8" ht="36.75" customHeight="1">
      <c r="A18" s="1283"/>
      <c r="B18" s="1284"/>
      <c r="C18" s="1282"/>
      <c r="D18" s="310">
        <v>5</v>
      </c>
      <c r="E18" s="2" t="s">
        <v>469</v>
      </c>
      <c r="F18" s="278">
        <f>1/15</f>
        <v>6.6666666666666666E-2</v>
      </c>
      <c r="G18" s="733"/>
      <c r="H18" s="768">
        <f>F18*G18</f>
        <v>0</v>
      </c>
    </row>
    <row r="19" spans="1:8" ht="15.75" customHeight="1">
      <c r="A19" s="87"/>
      <c r="B19" s="88" t="s">
        <v>1982</v>
      </c>
      <c r="C19" s="280"/>
      <c r="D19" s="89">
        <f>SUM(D14:D18)</f>
        <v>15</v>
      </c>
      <c r="E19" s="90"/>
      <c r="F19" s="280">
        <f>SUM(F14:F18)</f>
        <v>1</v>
      </c>
      <c r="G19" s="280">
        <f>SUM(G14:G18)</f>
        <v>0</v>
      </c>
      <c r="H19" s="280">
        <f>C14*SUM(H14:H18)</f>
        <v>0</v>
      </c>
    </row>
    <row r="20" spans="1:8" ht="15.75" customHeight="1">
      <c r="A20" s="1283">
        <v>4</v>
      </c>
      <c r="B20" s="1284" t="s">
        <v>2458</v>
      </c>
      <c r="C20" s="1288">
        <v>0.05</v>
      </c>
      <c r="D20" s="653">
        <v>1</v>
      </c>
      <c r="E20" s="659" t="s">
        <v>2459</v>
      </c>
      <c r="F20" s="278">
        <f>6/21</f>
        <v>0.2857142857142857</v>
      </c>
      <c r="G20" s="1"/>
      <c r="H20" s="279">
        <f t="shared" ref="H20:H25" si="0">F20*G20</f>
        <v>0</v>
      </c>
    </row>
    <row r="21" spans="1:8" ht="31.5" customHeight="1">
      <c r="A21" s="1283"/>
      <c r="B21" s="1284"/>
      <c r="C21" s="1289"/>
      <c r="D21" s="653">
        <v>2</v>
      </c>
      <c r="E21" s="659" t="s">
        <v>2460</v>
      </c>
      <c r="F21" s="278">
        <f>3/21</f>
        <v>0.14285714285714285</v>
      </c>
      <c r="G21" s="987"/>
      <c r="H21" s="279">
        <f t="shared" si="0"/>
        <v>0</v>
      </c>
    </row>
    <row r="22" spans="1:8" ht="49.5" customHeight="1">
      <c r="A22" s="1283"/>
      <c r="B22" s="1284"/>
      <c r="C22" s="1289"/>
      <c r="D22" s="653">
        <v>3</v>
      </c>
      <c r="E22" s="659" t="s">
        <v>2461</v>
      </c>
      <c r="F22" s="278">
        <f>3/21</f>
        <v>0.14285714285714285</v>
      </c>
      <c r="G22" s="987"/>
      <c r="H22" s="279">
        <f t="shared" si="0"/>
        <v>0</v>
      </c>
    </row>
    <row r="23" spans="1:8" ht="37.5" customHeight="1">
      <c r="A23" s="1283"/>
      <c r="B23" s="1284"/>
      <c r="C23" s="1289"/>
      <c r="D23" s="653">
        <v>4</v>
      </c>
      <c r="E23" s="659" t="s">
        <v>2462</v>
      </c>
      <c r="F23" s="278">
        <f>3/21</f>
        <v>0.14285714285714285</v>
      </c>
      <c r="G23" s="987"/>
      <c r="H23" s="279">
        <f t="shared" si="0"/>
        <v>0</v>
      </c>
    </row>
    <row r="24" spans="1:8" ht="21" customHeight="1">
      <c r="A24" s="1283"/>
      <c r="B24" s="1284"/>
      <c r="C24" s="1289"/>
      <c r="D24" s="653">
        <v>5</v>
      </c>
      <c r="E24" s="659" t="s">
        <v>2463</v>
      </c>
      <c r="F24" s="278">
        <f>3/21</f>
        <v>0.14285714285714285</v>
      </c>
      <c r="G24" s="987"/>
      <c r="H24" s="279">
        <f t="shared" si="0"/>
        <v>0</v>
      </c>
    </row>
    <row r="25" spans="1:8" ht="48.75" customHeight="1">
      <c r="A25" s="1283"/>
      <c r="B25" s="1284"/>
      <c r="C25" s="1290"/>
      <c r="D25" s="653">
        <v>6</v>
      </c>
      <c r="E25" s="659" t="s">
        <v>2464</v>
      </c>
      <c r="F25" s="278">
        <f>3/21</f>
        <v>0.14285714285714285</v>
      </c>
      <c r="G25" s="987"/>
      <c r="H25" s="279">
        <f t="shared" si="0"/>
        <v>0</v>
      </c>
    </row>
    <row r="26" spans="1:8" ht="15.75" customHeight="1">
      <c r="A26" s="87"/>
      <c r="B26" s="88" t="s">
        <v>1982</v>
      </c>
      <c r="C26" s="280"/>
      <c r="D26" s="89">
        <f>SUM(D20:D25)</f>
        <v>21</v>
      </c>
      <c r="E26" s="90"/>
      <c r="F26" s="280">
        <f>SUM(F20:F25)</f>
        <v>0.99999999999999978</v>
      </c>
      <c r="G26" s="280">
        <f>SUM(G20:G25)</f>
        <v>0</v>
      </c>
      <c r="H26" s="280">
        <f>C20*SUM(H20:H25)</f>
        <v>0</v>
      </c>
    </row>
    <row r="27" spans="1:8" ht="35.25" customHeight="1">
      <c r="A27" s="1283">
        <v>5</v>
      </c>
      <c r="B27" s="1284" t="s">
        <v>1990</v>
      </c>
      <c r="C27" s="1282">
        <v>7.0000000000000007E-2</v>
      </c>
      <c r="D27" s="310">
        <v>1</v>
      </c>
      <c r="E27" s="86" t="s">
        <v>2465</v>
      </c>
      <c r="F27" s="278">
        <f>2/3</f>
        <v>0.66666666666666663</v>
      </c>
      <c r="G27" s="1"/>
      <c r="H27" s="279">
        <f>F27*G27</f>
        <v>0</v>
      </c>
    </row>
    <row r="28" spans="1:8" ht="49.5" customHeight="1">
      <c r="A28" s="1283"/>
      <c r="B28" s="1284"/>
      <c r="C28" s="1282"/>
      <c r="D28" s="310">
        <v>2</v>
      </c>
      <c r="E28" s="86" t="s">
        <v>271</v>
      </c>
      <c r="F28" s="278">
        <f>1/3</f>
        <v>0.33333333333333331</v>
      </c>
      <c r="G28" s="1"/>
      <c r="H28" s="279">
        <f>F28*G28</f>
        <v>0</v>
      </c>
    </row>
    <row r="29" spans="1:8" ht="15.75" customHeight="1">
      <c r="A29" s="87"/>
      <c r="B29" s="88" t="s">
        <v>1982</v>
      </c>
      <c r="C29" s="280"/>
      <c r="D29" s="89">
        <f>SUM(D27:D28)</f>
        <v>3</v>
      </c>
      <c r="E29" s="90"/>
      <c r="F29" s="89">
        <f>SUM(F27:F28)</f>
        <v>1</v>
      </c>
      <c r="G29" s="280">
        <f>SUM(G24:G28)</f>
        <v>0</v>
      </c>
      <c r="H29" s="280">
        <f>C27*SUM(H27:H28)</f>
        <v>0</v>
      </c>
    </row>
    <row r="30" spans="1:8" ht="52.5" customHeight="1">
      <c r="A30" s="1287">
        <v>6</v>
      </c>
      <c r="B30" s="1284" t="s">
        <v>418</v>
      </c>
      <c r="C30" s="1282">
        <v>0.1</v>
      </c>
      <c r="D30" s="310">
        <v>1</v>
      </c>
      <c r="E30" s="86" t="s">
        <v>2466</v>
      </c>
      <c r="F30" s="278">
        <f>2.5/10</f>
        <v>0.25</v>
      </c>
      <c r="G30" s="1"/>
      <c r="H30" s="279">
        <f>F30*G30</f>
        <v>0</v>
      </c>
    </row>
    <row r="31" spans="1:8" ht="21.75" customHeight="1">
      <c r="A31" s="1287"/>
      <c r="B31" s="1284"/>
      <c r="C31" s="1282"/>
      <c r="D31" s="310">
        <v>2</v>
      </c>
      <c r="E31" s="86" t="s">
        <v>1451</v>
      </c>
      <c r="F31" s="278">
        <f>2.5/10</f>
        <v>0.25</v>
      </c>
      <c r="G31" s="1"/>
      <c r="H31" s="279">
        <f>F31*G31</f>
        <v>0</v>
      </c>
    </row>
    <row r="32" spans="1:8" ht="52.5" customHeight="1">
      <c r="A32" s="1287"/>
      <c r="B32" s="1284"/>
      <c r="C32" s="1282"/>
      <c r="D32" s="310">
        <v>3</v>
      </c>
      <c r="E32" s="86" t="s">
        <v>2467</v>
      </c>
      <c r="F32" s="278">
        <f>2.5/10</f>
        <v>0.25</v>
      </c>
      <c r="G32" s="1"/>
      <c r="H32" s="279">
        <f>F32*G32</f>
        <v>0</v>
      </c>
    </row>
    <row r="33" spans="1:8" ht="81.75" customHeight="1">
      <c r="A33" s="1287"/>
      <c r="B33" s="1284"/>
      <c r="C33" s="1282"/>
      <c r="D33" s="310">
        <v>4</v>
      </c>
      <c r="E33" s="86" t="s">
        <v>2468</v>
      </c>
      <c r="F33" s="278">
        <f>2.5/10</f>
        <v>0.25</v>
      </c>
      <c r="G33" s="1"/>
      <c r="H33" s="279">
        <f>F33*G33</f>
        <v>0</v>
      </c>
    </row>
    <row r="34" spans="1:8" ht="15.75" customHeight="1">
      <c r="A34" s="87"/>
      <c r="B34" s="88" t="s">
        <v>1982</v>
      </c>
      <c r="C34" s="280"/>
      <c r="D34" s="89">
        <f>SUM(D30:D33)</f>
        <v>10</v>
      </c>
      <c r="E34" s="90"/>
      <c r="F34" s="280">
        <f>SUM(F30:F33)</f>
        <v>1</v>
      </c>
      <c r="G34" s="280">
        <f>SUM(G29:G33)</f>
        <v>0</v>
      </c>
      <c r="H34" s="280">
        <f>C31*SUM(H31:H33)</f>
        <v>0</v>
      </c>
    </row>
    <row r="35" spans="1:8" ht="65.25" customHeight="1">
      <c r="A35" s="1280">
        <v>7</v>
      </c>
      <c r="B35" s="1281" t="s">
        <v>2469</v>
      </c>
      <c r="C35" s="1282">
        <v>0.06</v>
      </c>
      <c r="D35" s="310">
        <v>1</v>
      </c>
      <c r="E35" s="277" t="s">
        <v>2470</v>
      </c>
      <c r="F35" s="278">
        <f>2/10</f>
        <v>0.2</v>
      </c>
      <c r="G35" s="1"/>
      <c r="H35" s="279">
        <f>F35*G35</f>
        <v>0</v>
      </c>
    </row>
    <row r="36" spans="1:8" ht="50.25" customHeight="1">
      <c r="A36" s="1280"/>
      <c r="B36" s="1281"/>
      <c r="C36" s="1282"/>
      <c r="D36" s="310">
        <v>2</v>
      </c>
      <c r="E36" s="277" t="s">
        <v>2471</v>
      </c>
      <c r="F36" s="278">
        <f>2/10</f>
        <v>0.2</v>
      </c>
      <c r="G36" s="1"/>
      <c r="H36" s="279">
        <f>F36*G36</f>
        <v>0</v>
      </c>
    </row>
    <row r="37" spans="1:8" ht="35.25" customHeight="1">
      <c r="A37" s="1280"/>
      <c r="B37" s="1281"/>
      <c r="C37" s="1282"/>
      <c r="D37" s="310">
        <v>3</v>
      </c>
      <c r="E37" s="277" t="s">
        <v>2472</v>
      </c>
      <c r="F37" s="278">
        <f>3/10</f>
        <v>0.3</v>
      </c>
      <c r="G37" s="1"/>
      <c r="H37" s="279">
        <f>F37*G37</f>
        <v>0</v>
      </c>
    </row>
    <row r="38" spans="1:8" ht="35.25" customHeight="1">
      <c r="A38" s="1280"/>
      <c r="B38" s="1281"/>
      <c r="C38" s="1282"/>
      <c r="D38" s="310">
        <v>4</v>
      </c>
      <c r="E38" s="277" t="s">
        <v>2473</v>
      </c>
      <c r="F38" s="278">
        <f>3/10</f>
        <v>0.3</v>
      </c>
      <c r="G38" s="1"/>
      <c r="H38" s="279">
        <f>F38*G38</f>
        <v>0</v>
      </c>
    </row>
    <row r="39" spans="1:8" ht="15.75" customHeight="1">
      <c r="A39" s="87"/>
      <c r="B39" s="88" t="s">
        <v>1982</v>
      </c>
      <c r="C39" s="280"/>
      <c r="D39" s="89">
        <f>SUM(D35:D38)</f>
        <v>10</v>
      </c>
      <c r="E39" s="90"/>
      <c r="F39" s="280">
        <f>SUM(F35:F38)</f>
        <v>1</v>
      </c>
      <c r="G39" s="280">
        <f>SUM(G34:G38)</f>
        <v>0</v>
      </c>
      <c r="H39" s="280">
        <f>C36*SUM(H36:H38)</f>
        <v>0</v>
      </c>
    </row>
    <row r="40" spans="1:8" ht="65.25" customHeight="1">
      <c r="A40" s="1283">
        <v>8</v>
      </c>
      <c r="B40" s="1284" t="s">
        <v>2474</v>
      </c>
      <c r="C40" s="1282">
        <v>0.09</v>
      </c>
      <c r="D40" s="653">
        <v>1</v>
      </c>
      <c r="E40" s="283" t="s">
        <v>2417</v>
      </c>
      <c r="F40" s="278">
        <f>2.5/10</f>
        <v>0.25</v>
      </c>
      <c r="G40" s="1"/>
      <c r="H40" s="279">
        <f>F40*G40</f>
        <v>0</v>
      </c>
    </row>
    <row r="41" spans="1:8" ht="61.5" customHeight="1">
      <c r="A41" s="1283"/>
      <c r="B41" s="1284"/>
      <c r="C41" s="1282"/>
      <c r="D41" s="653">
        <v>2</v>
      </c>
      <c r="E41" s="2" t="s">
        <v>2475</v>
      </c>
      <c r="F41" s="278">
        <f>2.5/10</f>
        <v>0.25</v>
      </c>
      <c r="G41" s="1"/>
      <c r="H41" s="279">
        <f>F41*G41</f>
        <v>0</v>
      </c>
    </row>
    <row r="42" spans="1:8" ht="35.25" customHeight="1">
      <c r="A42" s="1283"/>
      <c r="B42" s="1284"/>
      <c r="C42" s="1282"/>
      <c r="D42" s="653">
        <v>3</v>
      </c>
      <c r="E42" s="2" t="s">
        <v>2476</v>
      </c>
      <c r="F42" s="278">
        <f>2.5/10</f>
        <v>0.25</v>
      </c>
      <c r="G42" s="1"/>
      <c r="H42" s="279">
        <f>F42*G42</f>
        <v>0</v>
      </c>
    </row>
    <row r="43" spans="1:8" ht="49.5" customHeight="1">
      <c r="A43" s="1283"/>
      <c r="B43" s="1284"/>
      <c r="C43" s="1282"/>
      <c r="D43" s="653">
        <v>4</v>
      </c>
      <c r="E43" s="282" t="s">
        <v>1885</v>
      </c>
      <c r="F43" s="278">
        <f>2.5/10</f>
        <v>0.25</v>
      </c>
      <c r="G43" s="1"/>
      <c r="H43" s="279">
        <f>F43*G43</f>
        <v>0</v>
      </c>
    </row>
    <row r="44" spans="1:8">
      <c r="A44" s="87"/>
      <c r="B44" s="88" t="s">
        <v>1982</v>
      </c>
      <c r="C44" s="280"/>
      <c r="D44" s="89">
        <f>SUM(D40:D43)</f>
        <v>10</v>
      </c>
      <c r="E44" s="90"/>
      <c r="F44" s="280">
        <f>SUM(F40:F43)</f>
        <v>1</v>
      </c>
      <c r="G44" s="280">
        <f>SUM(G39:G43)</f>
        <v>0</v>
      </c>
      <c r="H44" s="280">
        <f>C40*SUM(H40:H43)</f>
        <v>0</v>
      </c>
    </row>
    <row r="45" spans="1:8" ht="45.75" customHeight="1">
      <c r="A45" s="1283">
        <v>9</v>
      </c>
      <c r="B45" s="1284" t="s">
        <v>1886</v>
      </c>
      <c r="C45" s="1282">
        <v>0.1</v>
      </c>
      <c r="D45" s="310">
        <v>1</v>
      </c>
      <c r="E45" s="2" t="s">
        <v>1887</v>
      </c>
      <c r="F45" s="278">
        <f>3/21</f>
        <v>0.14285714285714285</v>
      </c>
      <c r="G45" s="1"/>
      <c r="H45" s="279">
        <f t="shared" ref="H45:H50" si="1">F45*G45</f>
        <v>0</v>
      </c>
    </row>
    <row r="46" spans="1:8" ht="79.5" customHeight="1">
      <c r="A46" s="1283"/>
      <c r="B46" s="1284"/>
      <c r="C46" s="1282"/>
      <c r="D46" s="310">
        <v>2</v>
      </c>
      <c r="E46" s="86" t="s">
        <v>1888</v>
      </c>
      <c r="F46" s="278">
        <f>5/21</f>
        <v>0.23809523809523808</v>
      </c>
      <c r="G46" s="1"/>
      <c r="H46" s="279">
        <f t="shared" si="1"/>
        <v>0</v>
      </c>
    </row>
    <row r="47" spans="1:8" ht="36" customHeight="1">
      <c r="A47" s="1283"/>
      <c r="B47" s="1284"/>
      <c r="C47" s="1282"/>
      <c r="D47" s="310">
        <v>3</v>
      </c>
      <c r="E47" s="2" t="s">
        <v>1889</v>
      </c>
      <c r="F47" s="278">
        <f>5/21</f>
        <v>0.23809523809523808</v>
      </c>
      <c r="G47" s="1"/>
      <c r="H47" s="279">
        <f t="shared" si="1"/>
        <v>0</v>
      </c>
    </row>
    <row r="48" spans="1:8" ht="18" customHeight="1">
      <c r="A48" s="1283"/>
      <c r="B48" s="1284"/>
      <c r="C48" s="1282"/>
      <c r="D48" s="310">
        <v>4</v>
      </c>
      <c r="E48" s="988" t="s">
        <v>1890</v>
      </c>
      <c r="F48" s="278">
        <f>4/21</f>
        <v>0.19047619047619047</v>
      </c>
      <c r="G48" s="1"/>
      <c r="H48" s="279">
        <f t="shared" si="1"/>
        <v>0</v>
      </c>
    </row>
    <row r="49" spans="1:8" ht="35.25" customHeight="1">
      <c r="A49" s="1283"/>
      <c r="B49" s="1284"/>
      <c r="C49" s="1282"/>
      <c r="D49" s="310">
        <v>5</v>
      </c>
      <c r="E49" s="2" t="s">
        <v>1891</v>
      </c>
      <c r="F49" s="278">
        <f>2/21</f>
        <v>9.5238095238095233E-2</v>
      </c>
      <c r="G49" s="1"/>
      <c r="H49" s="279">
        <f t="shared" si="1"/>
        <v>0</v>
      </c>
    </row>
    <row r="50" spans="1:8" ht="63">
      <c r="A50" s="1283"/>
      <c r="B50" s="1284"/>
      <c r="C50" s="1282"/>
      <c r="D50" s="310">
        <v>6</v>
      </c>
      <c r="E50" s="2" t="s">
        <v>1892</v>
      </c>
      <c r="F50" s="278">
        <f>2/21</f>
        <v>9.5238095238095233E-2</v>
      </c>
      <c r="G50" s="1"/>
      <c r="H50" s="279">
        <f t="shared" si="1"/>
        <v>0</v>
      </c>
    </row>
    <row r="51" spans="1:8">
      <c r="A51" s="87"/>
      <c r="B51" s="88" t="s">
        <v>1982</v>
      </c>
      <c r="C51" s="280"/>
      <c r="D51" s="89">
        <f>SUM(D45:D50)</f>
        <v>21</v>
      </c>
      <c r="E51" s="90"/>
      <c r="F51" s="280">
        <f>SUM(F45:F50)</f>
        <v>1</v>
      </c>
      <c r="G51" s="280">
        <f>SUM(G46:G50)</f>
        <v>0</v>
      </c>
      <c r="H51" s="280">
        <f>C45*SUM(H45:H50)</f>
        <v>0</v>
      </c>
    </row>
    <row r="52" spans="1:8" ht="47.25" customHeight="1">
      <c r="A52" s="1283">
        <v>10</v>
      </c>
      <c r="B52" s="1284" t="s">
        <v>1893</v>
      </c>
      <c r="C52" s="1282">
        <v>0.1</v>
      </c>
      <c r="D52" s="310">
        <v>1</v>
      </c>
      <c r="E52" s="86" t="s">
        <v>1894</v>
      </c>
      <c r="F52" s="278">
        <f>5/21</f>
        <v>0.23809523809523808</v>
      </c>
      <c r="G52" s="1"/>
      <c r="H52" s="279">
        <f t="shared" ref="H52:H57" si="2">F52*G52</f>
        <v>0</v>
      </c>
    </row>
    <row r="53" spans="1:8" ht="71.25" customHeight="1">
      <c r="A53" s="1283"/>
      <c r="B53" s="1284"/>
      <c r="C53" s="1282"/>
      <c r="D53" s="310">
        <v>2</v>
      </c>
      <c r="E53" s="86" t="s">
        <v>1895</v>
      </c>
      <c r="F53" s="278">
        <f>5/21</f>
        <v>0.23809523809523808</v>
      </c>
      <c r="G53" s="1"/>
      <c r="H53" s="279">
        <f t="shared" si="2"/>
        <v>0</v>
      </c>
    </row>
    <row r="54" spans="1:8" ht="50.25" customHeight="1">
      <c r="A54" s="1283"/>
      <c r="B54" s="1284"/>
      <c r="C54" s="1282"/>
      <c r="D54" s="310">
        <v>3</v>
      </c>
      <c r="E54" s="86" t="s">
        <v>1896</v>
      </c>
      <c r="F54" s="278">
        <f>3/21</f>
        <v>0.14285714285714285</v>
      </c>
      <c r="G54" s="1"/>
      <c r="H54" s="279">
        <f t="shared" si="2"/>
        <v>0</v>
      </c>
    </row>
    <row r="55" spans="1:8" ht="187.5" customHeight="1">
      <c r="A55" s="1283"/>
      <c r="B55" s="1284"/>
      <c r="C55" s="1282"/>
      <c r="D55" s="310">
        <v>4</v>
      </c>
      <c r="E55" s="282" t="s">
        <v>1897</v>
      </c>
      <c r="F55" s="278">
        <f>4/21</f>
        <v>0.19047619047619047</v>
      </c>
      <c r="G55" s="1"/>
      <c r="H55" s="279">
        <f t="shared" si="2"/>
        <v>0</v>
      </c>
    </row>
    <row r="56" spans="1:8" ht="96" customHeight="1">
      <c r="A56" s="1283"/>
      <c r="B56" s="1284"/>
      <c r="C56" s="1282"/>
      <c r="D56" s="310">
        <v>5</v>
      </c>
      <c r="E56" s="2" t="s">
        <v>1898</v>
      </c>
      <c r="F56" s="278">
        <f>2/21</f>
        <v>9.5238095238095233E-2</v>
      </c>
      <c r="G56" s="1"/>
      <c r="H56" s="279">
        <f t="shared" si="2"/>
        <v>0</v>
      </c>
    </row>
    <row r="57" spans="1:8" ht="114" customHeight="1">
      <c r="A57" s="1283"/>
      <c r="B57" s="1284"/>
      <c r="C57" s="1282"/>
      <c r="D57" s="310">
        <v>6</v>
      </c>
      <c r="E57" s="2" t="s">
        <v>1899</v>
      </c>
      <c r="F57" s="278">
        <f>2/21</f>
        <v>9.5238095238095233E-2</v>
      </c>
      <c r="G57" s="1"/>
      <c r="H57" s="279">
        <f t="shared" si="2"/>
        <v>0</v>
      </c>
    </row>
    <row r="58" spans="1:8">
      <c r="A58" s="87"/>
      <c r="B58" s="88" t="s">
        <v>1982</v>
      </c>
      <c r="C58" s="280"/>
      <c r="D58" s="89">
        <f>SUM(D52:D57)</f>
        <v>21</v>
      </c>
      <c r="E58" s="90"/>
      <c r="F58" s="280">
        <f>SUM(F52:F57)</f>
        <v>1</v>
      </c>
      <c r="G58" s="280">
        <f>SUM(G53:G57)</f>
        <v>0</v>
      </c>
      <c r="H58" s="280">
        <f>C52*SUM(H52:H57)</f>
        <v>0</v>
      </c>
    </row>
    <row r="59" spans="1:8" ht="67.5" customHeight="1">
      <c r="A59" s="1283">
        <v>11</v>
      </c>
      <c r="B59" s="1284" t="s">
        <v>1900</v>
      </c>
      <c r="C59" s="1282">
        <v>0.02</v>
      </c>
      <c r="D59" s="310">
        <v>1</v>
      </c>
      <c r="E59" s="282" t="s">
        <v>1901</v>
      </c>
      <c r="F59" s="740">
        <f>2/6</f>
        <v>0.33333333333333331</v>
      </c>
      <c r="G59" s="1"/>
      <c r="H59" s="279">
        <f>F59*G59</f>
        <v>0</v>
      </c>
    </row>
    <row r="60" spans="1:8" ht="31.5">
      <c r="A60" s="1283"/>
      <c r="B60" s="1284"/>
      <c r="C60" s="1282"/>
      <c r="D60" s="310">
        <v>2</v>
      </c>
      <c r="E60" s="282" t="s">
        <v>1902</v>
      </c>
      <c r="F60" s="740">
        <f>2/6</f>
        <v>0.33333333333333331</v>
      </c>
      <c r="G60" s="1"/>
      <c r="H60" s="279">
        <f>F60*G60</f>
        <v>0</v>
      </c>
    </row>
    <row r="61" spans="1:8" ht="51.75" customHeight="1">
      <c r="A61" s="1283"/>
      <c r="B61" s="1284"/>
      <c r="C61" s="1282"/>
      <c r="D61" s="310">
        <v>3</v>
      </c>
      <c r="E61" s="282" t="s">
        <v>1903</v>
      </c>
      <c r="F61" s="740">
        <f>2/6</f>
        <v>0.33333333333333331</v>
      </c>
      <c r="G61" s="1"/>
      <c r="H61" s="279">
        <f>F61*G61</f>
        <v>0</v>
      </c>
    </row>
    <row r="62" spans="1:8">
      <c r="A62" s="87"/>
      <c r="B62" s="88" t="s">
        <v>1982</v>
      </c>
      <c r="C62" s="280"/>
      <c r="D62" s="89">
        <f>SUM(D59:D61)</f>
        <v>6</v>
      </c>
      <c r="E62" s="90"/>
      <c r="F62" s="280">
        <f>SUM(F59:F61)</f>
        <v>1</v>
      </c>
      <c r="G62" s="280">
        <f>SUM(G59:G61)</f>
        <v>0</v>
      </c>
      <c r="H62" s="280">
        <f>C59*SUM(H59:H61)</f>
        <v>0</v>
      </c>
    </row>
    <row r="63" spans="1:8" ht="40.5" customHeight="1">
      <c r="A63" s="1283">
        <v>12</v>
      </c>
      <c r="B63" s="1284" t="s">
        <v>1904</v>
      </c>
      <c r="C63" s="1282">
        <v>0.09</v>
      </c>
      <c r="D63" s="310">
        <v>1</v>
      </c>
      <c r="E63" s="86" t="s">
        <v>1905</v>
      </c>
      <c r="F63" s="278">
        <f>3/15</f>
        <v>0.2</v>
      </c>
      <c r="G63" s="1"/>
      <c r="H63" s="279">
        <f>F63*G63</f>
        <v>0</v>
      </c>
    </row>
    <row r="64" spans="1:8" ht="47.25">
      <c r="A64" s="1283"/>
      <c r="B64" s="1284"/>
      <c r="C64" s="1282"/>
      <c r="D64" s="310">
        <v>2</v>
      </c>
      <c r="E64" s="86" t="s">
        <v>1906</v>
      </c>
      <c r="F64" s="278">
        <f>3/15</f>
        <v>0.2</v>
      </c>
      <c r="G64" s="1"/>
      <c r="H64" s="279">
        <f t="shared" ref="H64:H70" si="3">F64*G64</f>
        <v>0</v>
      </c>
    </row>
    <row r="65" spans="1:8" ht="63">
      <c r="A65" s="1283"/>
      <c r="B65" s="1284"/>
      <c r="C65" s="1282"/>
      <c r="D65" s="310">
        <v>3</v>
      </c>
      <c r="E65" s="86" t="s">
        <v>1907</v>
      </c>
      <c r="F65" s="278">
        <f>3/15</f>
        <v>0.2</v>
      </c>
      <c r="G65" s="1"/>
      <c r="H65" s="279">
        <f t="shared" si="3"/>
        <v>0</v>
      </c>
    </row>
    <row r="66" spans="1:8" ht="63">
      <c r="A66" s="1283"/>
      <c r="B66" s="1284"/>
      <c r="C66" s="1282"/>
      <c r="D66" s="310">
        <v>4</v>
      </c>
      <c r="E66" s="2" t="s">
        <v>1908</v>
      </c>
      <c r="F66" s="278">
        <f>3/15</f>
        <v>0.2</v>
      </c>
      <c r="G66" s="1"/>
      <c r="H66" s="279">
        <f t="shared" si="3"/>
        <v>0</v>
      </c>
    </row>
    <row r="67" spans="1:8" ht="31.5">
      <c r="A67" s="1283"/>
      <c r="B67" s="1284"/>
      <c r="C67" s="1282"/>
      <c r="D67" s="310">
        <v>5</v>
      </c>
      <c r="E67" s="2" t="s">
        <v>1909</v>
      </c>
      <c r="F67" s="278">
        <f>3/15</f>
        <v>0.2</v>
      </c>
      <c r="G67" s="1"/>
      <c r="H67" s="279">
        <f t="shared" si="3"/>
        <v>0</v>
      </c>
    </row>
    <row r="68" spans="1:8">
      <c r="A68" s="87"/>
      <c r="B68" s="88" t="s">
        <v>1982</v>
      </c>
      <c r="C68" s="280"/>
      <c r="D68" s="89">
        <f>SUM(D63:D67)</f>
        <v>15</v>
      </c>
      <c r="E68" s="90"/>
      <c r="F68" s="280">
        <f>SUM(F63:F67)</f>
        <v>1</v>
      </c>
      <c r="G68" s="280">
        <f>SUM(G63:G67)</f>
        <v>0</v>
      </c>
      <c r="H68" s="280">
        <f>C65*SUM(H65:H67)</f>
        <v>0</v>
      </c>
    </row>
    <row r="69" spans="1:8" ht="16.5">
      <c r="A69" s="1280">
        <v>13</v>
      </c>
      <c r="B69" s="1281" t="s">
        <v>1910</v>
      </c>
      <c r="C69" s="1282">
        <v>0.05</v>
      </c>
      <c r="D69" s="310">
        <v>1</v>
      </c>
      <c r="E69" s="277" t="s">
        <v>1911</v>
      </c>
      <c r="F69" s="278">
        <f>1.5/3</f>
        <v>0.5</v>
      </c>
      <c r="G69" s="1"/>
      <c r="H69" s="279">
        <f t="shared" si="3"/>
        <v>0</v>
      </c>
    </row>
    <row r="70" spans="1:8" ht="31.5">
      <c r="A70" s="1280"/>
      <c r="B70" s="1281"/>
      <c r="C70" s="1282"/>
      <c r="D70" s="310">
        <v>2</v>
      </c>
      <c r="E70" s="277" t="s">
        <v>1912</v>
      </c>
      <c r="F70" s="278">
        <f>1.5/3</f>
        <v>0.5</v>
      </c>
      <c r="G70" s="1"/>
      <c r="H70" s="279">
        <f t="shared" si="3"/>
        <v>0</v>
      </c>
    </row>
    <row r="71" spans="1:8">
      <c r="A71" s="87"/>
      <c r="B71" s="88" t="s">
        <v>1982</v>
      </c>
      <c r="C71" s="280"/>
      <c r="D71" s="89">
        <f>SUM(D69:D70)</f>
        <v>3</v>
      </c>
      <c r="E71" s="90"/>
      <c r="F71" s="280">
        <f>SUM(F69:F70)</f>
        <v>1</v>
      </c>
      <c r="G71" s="280">
        <f>SUM(G66:G70)</f>
        <v>0</v>
      </c>
      <c r="H71" s="280">
        <f>C68*SUM(H68:H70)</f>
        <v>0</v>
      </c>
    </row>
    <row r="72" spans="1:8" ht="27.75" customHeight="1">
      <c r="A72" s="1283">
        <v>14</v>
      </c>
      <c r="B72" s="1284" t="s">
        <v>1913</v>
      </c>
      <c r="C72" s="1282">
        <v>0.05</v>
      </c>
      <c r="D72" s="310">
        <v>1</v>
      </c>
      <c r="E72" s="277" t="s">
        <v>1914</v>
      </c>
      <c r="F72" s="278">
        <f>1.5/3</f>
        <v>0.5</v>
      </c>
      <c r="G72" s="1"/>
      <c r="H72" s="279">
        <f>F72*G72</f>
        <v>0</v>
      </c>
    </row>
    <row r="73" spans="1:8" ht="36" customHeight="1">
      <c r="A73" s="1283"/>
      <c r="B73" s="1284"/>
      <c r="C73" s="1282"/>
      <c r="D73" s="310">
        <v>2</v>
      </c>
      <c r="E73" s="277" t="s">
        <v>1912</v>
      </c>
      <c r="F73" s="278">
        <f>1.5/3</f>
        <v>0.5</v>
      </c>
      <c r="G73" s="1"/>
      <c r="H73" s="279">
        <f>F73*G73</f>
        <v>0</v>
      </c>
    </row>
    <row r="74" spans="1:8">
      <c r="A74" s="87"/>
      <c r="B74" s="88" t="s">
        <v>1982</v>
      </c>
      <c r="D74" s="89">
        <f>SUM(D72:D73)</f>
        <v>3</v>
      </c>
      <c r="E74" s="90"/>
      <c r="F74" s="280">
        <f>SUM(F72:F73)</f>
        <v>1</v>
      </c>
      <c r="G74" s="280">
        <f>SUM(G72:G73)</f>
        <v>0</v>
      </c>
      <c r="H74" s="280">
        <f>C72*SUM(H72:H73)</f>
        <v>0</v>
      </c>
    </row>
    <row r="75" spans="1:8" ht="15.75" customHeight="1">
      <c r="A75" s="1285" t="s">
        <v>443</v>
      </c>
      <c r="B75" s="1286"/>
      <c r="C75" s="280">
        <f>SUM(C5:C73)</f>
        <v>1</v>
      </c>
      <c r="D75" s="93"/>
      <c r="E75" s="90"/>
      <c r="F75" s="280"/>
      <c r="G75" s="280"/>
      <c r="H75" s="280">
        <f>SUM(H9,H13,H19,H26,H29,H34,H39,H44,H51,H58,H62,H68,H71,H74)</f>
        <v>0</v>
      </c>
    </row>
    <row r="76" spans="1:8" ht="16.5" customHeight="1">
      <c r="A76" s="1277" t="s">
        <v>444</v>
      </c>
      <c r="B76" s="1278"/>
      <c r="C76" s="1279"/>
      <c r="D76" s="634"/>
      <c r="E76" s="94"/>
      <c r="F76" s="284"/>
      <c r="G76" s="954"/>
      <c r="H76" s="285" t="str">
        <f>IF(H75&lt;=0.5,"низький",IF(H75&lt;=0.75,"середній",(IF(H75&lt;=0.95,"достатній",(IF(H75&lt;=1,"високий"))))))</f>
        <v>низький</v>
      </c>
    </row>
    <row r="77" spans="1:8" s="25" customFormat="1">
      <c r="A77" s="288" t="s">
        <v>182</v>
      </c>
      <c r="B77" s="289"/>
      <c r="C77" s="59"/>
      <c r="E77" s="642"/>
      <c r="F77" s="643"/>
      <c r="G77" s="112"/>
    </row>
    <row r="78" spans="1:8" s="25" customFormat="1" ht="17.25">
      <c r="A78" s="288" t="s">
        <v>589</v>
      </c>
      <c r="B78" s="289"/>
      <c r="C78" s="59"/>
      <c r="E78" s="642"/>
      <c r="F78" s="643"/>
      <c r="G78" s="112"/>
    </row>
    <row r="79" spans="1:8" s="25" customFormat="1" ht="17.25">
      <c r="A79" s="288" t="s">
        <v>590</v>
      </c>
      <c r="B79" s="289"/>
      <c r="C79" s="59"/>
      <c r="E79" s="642"/>
      <c r="F79" s="643"/>
      <c r="G79" s="112"/>
    </row>
    <row r="80" spans="1:8" s="25" customFormat="1" ht="17.25">
      <c r="A80" s="288" t="s">
        <v>591</v>
      </c>
      <c r="B80" s="289"/>
      <c r="C80" s="59"/>
      <c r="E80" s="642"/>
      <c r="F80" s="643"/>
      <c r="G80" s="112"/>
    </row>
    <row r="81" spans="1:7" s="25" customFormat="1" ht="17.25">
      <c r="A81" s="288" t="s">
        <v>592</v>
      </c>
      <c r="B81" s="289"/>
      <c r="C81" s="59"/>
      <c r="E81" s="642"/>
      <c r="F81" s="643"/>
      <c r="G81" s="112"/>
    </row>
    <row r="82" spans="1:7" s="25" customFormat="1" ht="17.25">
      <c r="A82" s="288" t="s">
        <v>593</v>
      </c>
      <c r="B82" s="289"/>
      <c r="C82" s="59"/>
      <c r="E82" s="642"/>
      <c r="F82" s="643"/>
      <c r="G82" s="112"/>
    </row>
    <row r="83" spans="1:7" s="25" customFormat="1" ht="17.25">
      <c r="A83" s="288" t="s">
        <v>594</v>
      </c>
      <c r="B83" s="289"/>
      <c r="C83" s="59"/>
      <c r="E83" s="642"/>
      <c r="F83" s="643"/>
      <c r="G83" s="112"/>
    </row>
    <row r="84" spans="1:7" s="25" customFormat="1" ht="17.25">
      <c r="A84" s="288" t="s">
        <v>595</v>
      </c>
      <c r="B84" s="289"/>
      <c r="C84" s="59"/>
      <c r="E84" s="642"/>
      <c r="F84" s="643"/>
      <c r="G84" s="112"/>
    </row>
    <row r="85" spans="1:7" s="25" customFormat="1">
      <c r="A85" s="644" t="s">
        <v>596</v>
      </c>
      <c r="B85" s="289"/>
      <c r="C85" s="59"/>
      <c r="E85" s="642"/>
      <c r="F85" s="643"/>
      <c r="G85" s="112"/>
    </row>
    <row r="86" spans="1:7" s="25" customFormat="1">
      <c r="A86" s="288" t="s">
        <v>597</v>
      </c>
      <c r="B86" s="289"/>
      <c r="C86" s="59"/>
      <c r="E86" s="642"/>
      <c r="F86" s="643"/>
      <c r="G86" s="112"/>
    </row>
    <row r="87" spans="1:7" s="25" customFormat="1">
      <c r="A87" s="288" t="s">
        <v>792</v>
      </c>
      <c r="B87" s="289"/>
      <c r="C87" s="59"/>
      <c r="E87" s="642"/>
      <c r="F87" s="643"/>
      <c r="G87" s="112"/>
    </row>
    <row r="88" spans="1:7" s="25" customFormat="1">
      <c r="A88" s="288" t="s">
        <v>793</v>
      </c>
      <c r="B88" s="289"/>
      <c r="C88" s="59"/>
      <c r="E88" s="642"/>
      <c r="F88" s="643"/>
      <c r="G88" s="112"/>
    </row>
    <row r="89" spans="1:7" s="25" customFormat="1">
      <c r="A89" s="288" t="s">
        <v>794</v>
      </c>
      <c r="B89" s="289"/>
      <c r="C89" s="59"/>
      <c r="E89" s="642"/>
      <c r="F89" s="643"/>
      <c r="G89" s="112"/>
    </row>
    <row r="90" spans="1:7" s="25" customFormat="1">
      <c r="A90" s="59"/>
      <c r="B90" s="59" t="s">
        <v>20</v>
      </c>
      <c r="C90" s="59"/>
      <c r="D90" s="59"/>
      <c r="E90" s="59"/>
      <c r="F90" s="59"/>
      <c r="G90" s="59"/>
    </row>
    <row r="91" spans="1:7" s="25" customFormat="1">
      <c r="A91" s="645"/>
      <c r="B91" s="645"/>
      <c r="C91" s="645"/>
      <c r="D91" s="645"/>
      <c r="E91" s="645"/>
      <c r="F91" s="645"/>
      <c r="G91" s="645"/>
    </row>
    <row r="92" spans="1:7" s="25" customFormat="1">
      <c r="A92" s="645"/>
      <c r="B92" s="645"/>
      <c r="C92" s="645"/>
      <c r="D92" s="645"/>
      <c r="E92" s="645"/>
      <c r="F92" s="645"/>
      <c r="G92" s="645"/>
    </row>
    <row r="93" spans="1:7" s="25" customFormat="1">
      <c r="A93" s="645"/>
      <c r="B93" s="645"/>
      <c r="C93" s="645"/>
      <c r="D93" s="645"/>
      <c r="E93" s="645"/>
      <c r="F93" s="645"/>
      <c r="G93" s="645"/>
    </row>
    <row r="94" spans="1:7" s="25" customFormat="1">
      <c r="A94" s="645"/>
      <c r="B94" s="645"/>
      <c r="C94" s="645"/>
      <c r="D94" s="645"/>
      <c r="E94" s="645"/>
      <c r="F94" s="645"/>
      <c r="G94" s="645"/>
    </row>
    <row r="95" spans="1:7" s="25" customFormat="1">
      <c r="A95" s="645"/>
      <c r="B95" s="645"/>
      <c r="C95" s="645"/>
      <c r="D95" s="645"/>
      <c r="E95" s="645"/>
      <c r="F95" s="645"/>
      <c r="G95" s="645"/>
    </row>
    <row r="96" spans="1:7" s="25" customFormat="1">
      <c r="A96" s="645"/>
      <c r="B96" s="645"/>
      <c r="C96" s="645"/>
      <c r="D96" s="645"/>
      <c r="E96" s="645"/>
      <c r="F96" s="645"/>
      <c r="G96" s="645"/>
    </row>
    <row r="97" spans="1:7" s="25" customFormat="1">
      <c r="A97" s="645"/>
      <c r="B97" s="645"/>
      <c r="C97" s="645"/>
      <c r="D97" s="645"/>
      <c r="E97" s="645"/>
      <c r="F97" s="645"/>
      <c r="G97" s="645"/>
    </row>
    <row r="98" spans="1:7" s="25" customFormat="1">
      <c r="A98" s="645"/>
      <c r="B98" s="645"/>
      <c r="C98" s="645"/>
      <c r="D98" s="645"/>
      <c r="E98" s="645"/>
      <c r="F98" s="645"/>
      <c r="G98" s="645"/>
    </row>
    <row r="99" spans="1:7" s="25" customFormat="1">
      <c r="A99" s="645"/>
      <c r="B99" s="645"/>
      <c r="C99" s="645"/>
      <c r="D99" s="645"/>
      <c r="E99" s="645"/>
      <c r="F99" s="645"/>
      <c r="G99" s="645"/>
    </row>
    <row r="100" spans="1:7" s="25" customFormat="1">
      <c r="A100" s="645"/>
      <c r="B100" s="645"/>
      <c r="C100" s="645"/>
      <c r="D100" s="645"/>
      <c r="E100" s="645"/>
      <c r="F100" s="645"/>
      <c r="G100" s="645"/>
    </row>
    <row r="101" spans="1:7" s="25" customFormat="1">
      <c r="A101" s="645"/>
      <c r="B101" s="645"/>
      <c r="C101" s="645"/>
      <c r="D101" s="645"/>
      <c r="E101" s="645"/>
      <c r="F101" s="645"/>
      <c r="G101" s="645"/>
    </row>
    <row r="102" spans="1:7" s="25" customFormat="1">
      <c r="A102" s="645"/>
      <c r="B102" s="645"/>
      <c r="C102" s="645"/>
      <c r="D102" s="645"/>
      <c r="E102" s="645"/>
      <c r="F102" s="645"/>
      <c r="G102" s="645"/>
    </row>
    <row r="103" spans="1:7" s="25" customFormat="1">
      <c r="A103" s="645"/>
      <c r="B103" s="645"/>
      <c r="C103" s="645"/>
      <c r="D103" s="645"/>
      <c r="E103" s="645"/>
      <c r="F103" s="645"/>
      <c r="G103" s="645"/>
    </row>
    <row r="104" spans="1:7" s="25" customFormat="1">
      <c r="A104" s="645"/>
      <c r="B104" s="645"/>
      <c r="C104" s="645"/>
      <c r="D104" s="645"/>
      <c r="E104" s="645"/>
      <c r="F104" s="645"/>
      <c r="G104" s="645"/>
    </row>
    <row r="105" spans="1:7" s="25" customFormat="1">
      <c r="A105" s="59"/>
      <c r="B105" s="646" t="s">
        <v>2418</v>
      </c>
      <c r="C105" s="646"/>
      <c r="D105" s="646"/>
      <c r="E105" s="646"/>
      <c r="F105" s="646"/>
      <c r="G105" s="646"/>
    </row>
    <row r="106" spans="1:7" s="25" customFormat="1">
      <c r="A106" s="59"/>
      <c r="B106" s="391"/>
      <c r="C106" s="391"/>
      <c r="D106" s="391"/>
      <c r="E106" s="391"/>
      <c r="F106" s="391"/>
      <c r="G106" s="391"/>
    </row>
    <row r="107" spans="1:7" s="25" customFormat="1">
      <c r="A107" s="59"/>
      <c r="B107" s="646" t="s">
        <v>22</v>
      </c>
      <c r="C107" s="646"/>
      <c r="D107" s="646"/>
      <c r="E107" s="646"/>
      <c r="F107" s="646"/>
      <c r="G107" s="646"/>
    </row>
    <row r="108" spans="1:7" s="25" customFormat="1">
      <c r="A108" s="59"/>
      <c r="B108" s="391"/>
      <c r="C108" s="391"/>
      <c r="D108" s="391"/>
      <c r="E108" s="391"/>
      <c r="F108" s="391"/>
      <c r="G108" s="391"/>
    </row>
    <row r="109" spans="1:7" s="25" customFormat="1">
      <c r="A109" s="59"/>
      <c r="B109" s="646" t="s">
        <v>23</v>
      </c>
      <c r="C109" s="646"/>
      <c r="D109" s="646"/>
      <c r="E109" s="646"/>
      <c r="F109" s="646"/>
      <c r="G109" s="646"/>
    </row>
    <row r="110" spans="1:7" s="25" customFormat="1">
      <c r="A110" s="59"/>
      <c r="B110" s="646" t="s">
        <v>24</v>
      </c>
      <c r="C110" s="646"/>
      <c r="D110" s="646"/>
      <c r="E110" s="646"/>
      <c r="F110" s="646"/>
      <c r="G110" s="646"/>
    </row>
    <row r="111" spans="1:7" s="25" customFormat="1">
      <c r="A111" s="289"/>
      <c r="B111" s="289"/>
      <c r="E111" s="332"/>
    </row>
    <row r="112" spans="1:7" s="25" customFormat="1">
      <c r="A112" s="290"/>
      <c r="B112" s="289"/>
      <c r="C112" s="332"/>
      <c r="E112" s="332"/>
    </row>
    <row r="113" spans="1:5" s="25" customFormat="1">
      <c r="A113" s="290"/>
      <c r="B113" s="289"/>
      <c r="C113" s="332"/>
      <c r="E113" s="332"/>
    </row>
  </sheetData>
  <mergeCells count="46">
    <mergeCell ref="A10:A12"/>
    <mergeCell ref="B10:B12"/>
    <mergeCell ref="C10:C12"/>
    <mergeCell ref="A1:H1"/>
    <mergeCell ref="A2:H2"/>
    <mergeCell ref="A5:A8"/>
    <mergeCell ref="B5:B8"/>
    <mergeCell ref="C5:C8"/>
    <mergeCell ref="A14:A18"/>
    <mergeCell ref="B14:B18"/>
    <mergeCell ref="C14:C18"/>
    <mergeCell ref="A20:A25"/>
    <mergeCell ref="B20:B25"/>
    <mergeCell ref="C20:C25"/>
    <mergeCell ref="A27:A28"/>
    <mergeCell ref="B27:B28"/>
    <mergeCell ref="C27:C28"/>
    <mergeCell ref="A30:A33"/>
    <mergeCell ref="B30:B33"/>
    <mergeCell ref="C30:C33"/>
    <mergeCell ref="A35:A38"/>
    <mergeCell ref="B35:B38"/>
    <mergeCell ref="C35:C38"/>
    <mergeCell ref="A40:A43"/>
    <mergeCell ref="B40:B43"/>
    <mergeCell ref="C40:C43"/>
    <mergeCell ref="A45:A50"/>
    <mergeCell ref="B45:B50"/>
    <mergeCell ref="C45:C50"/>
    <mergeCell ref="A52:A57"/>
    <mergeCell ref="B52:B57"/>
    <mergeCell ref="C52:C57"/>
    <mergeCell ref="A59:A61"/>
    <mergeCell ref="B59:B61"/>
    <mergeCell ref="C59:C61"/>
    <mergeCell ref="A63:A67"/>
    <mergeCell ref="B63:B67"/>
    <mergeCell ref="C63:C67"/>
    <mergeCell ref="A75:B75"/>
    <mergeCell ref="A76:C76"/>
    <mergeCell ref="A69:A70"/>
    <mergeCell ref="B69:B70"/>
    <mergeCell ref="C69:C70"/>
    <mergeCell ref="A72:A73"/>
    <mergeCell ref="B72:B73"/>
    <mergeCell ref="C72:C73"/>
  </mergeCells>
  <phoneticPr fontId="4" type="noConversion"/>
  <pageMargins left="0.7" right="0.7" top="0.75" bottom="0.75" header="0.3" footer="0.3"/>
  <pageSetup paperSize="9" scale="60" orientation="portrait" r:id="rId1"/>
</worksheet>
</file>

<file path=xl/worksheets/sheet24.xml><?xml version="1.0" encoding="utf-8"?>
<worksheet xmlns="http://schemas.openxmlformats.org/spreadsheetml/2006/main" xmlns:r="http://schemas.openxmlformats.org/officeDocument/2006/relationships">
  <dimension ref="A2:H64"/>
  <sheetViews>
    <sheetView workbookViewId="0">
      <selection activeCell="D3" sqref="D3"/>
    </sheetView>
  </sheetViews>
  <sheetFormatPr defaultRowHeight="18.75"/>
  <cols>
    <col min="1" max="1" width="9.140625" style="407"/>
    <col min="2" max="2" width="24.85546875" style="407" customWidth="1"/>
    <col min="3" max="3" width="13" style="407" customWidth="1"/>
    <col min="4" max="4" width="53.140625" style="408" customWidth="1"/>
    <col min="5" max="5" width="13.5703125" style="409" customWidth="1"/>
    <col min="6" max="6" width="13.42578125" style="1006" customWidth="1"/>
    <col min="7" max="7" width="17.5703125" style="1006" customWidth="1"/>
    <col min="8" max="8" width="21.42578125" style="377" customWidth="1"/>
    <col min="9" max="16384" width="9.140625" style="401"/>
  </cols>
  <sheetData>
    <row r="2" spans="1:8" ht="80.25" customHeight="1">
      <c r="A2" s="1306" t="s">
        <v>1915</v>
      </c>
      <c r="B2" s="1306"/>
      <c r="C2" s="1306"/>
      <c r="D2" s="1306"/>
      <c r="E2" s="1306"/>
      <c r="F2" s="1306"/>
      <c r="G2" s="1306"/>
      <c r="H2" s="1306"/>
    </row>
    <row r="3" spans="1:8" s="999" customFormat="1" ht="88.5" customHeight="1">
      <c r="A3" s="989" t="s">
        <v>1443</v>
      </c>
      <c r="B3" s="990" t="s">
        <v>1444</v>
      </c>
      <c r="C3" s="991" t="s">
        <v>1445</v>
      </c>
      <c r="D3" s="989" t="s">
        <v>452</v>
      </c>
      <c r="E3" s="992" t="s">
        <v>1445</v>
      </c>
      <c r="F3" s="993" t="s">
        <v>399</v>
      </c>
      <c r="G3" s="994" t="s">
        <v>1615</v>
      </c>
      <c r="H3" s="994" t="s">
        <v>1616</v>
      </c>
    </row>
    <row r="4" spans="1:8" s="999" customFormat="1" ht="37.5">
      <c r="A4" s="1293">
        <v>1</v>
      </c>
      <c r="B4" s="1294" t="s">
        <v>1916</v>
      </c>
      <c r="C4" s="1295">
        <v>0.16</v>
      </c>
      <c r="D4" s="995" t="s">
        <v>1447</v>
      </c>
      <c r="E4" s="1000">
        <v>0.7</v>
      </c>
      <c r="F4" s="996">
        <v>0</v>
      </c>
      <c r="G4" s="1001">
        <f>F4*E4</f>
        <v>0</v>
      </c>
      <c r="H4" s="1291">
        <f>(G4+G5)/6.25</f>
        <v>0</v>
      </c>
    </row>
    <row r="5" spans="1:8" s="999" customFormat="1" ht="56.25">
      <c r="A5" s="1293"/>
      <c r="B5" s="1294"/>
      <c r="C5" s="1295"/>
      <c r="D5" s="995" t="s">
        <v>1917</v>
      </c>
      <c r="E5" s="1000">
        <v>0.3</v>
      </c>
      <c r="F5" s="996">
        <v>0</v>
      </c>
      <c r="G5" s="1001">
        <f t="shared" ref="G5:G28" si="0">F5*E5</f>
        <v>0</v>
      </c>
      <c r="H5" s="1292"/>
    </row>
    <row r="6" spans="1:8" s="999" customFormat="1" ht="56.25">
      <c r="A6" s="1293">
        <v>2</v>
      </c>
      <c r="B6" s="1294" t="s">
        <v>1918</v>
      </c>
      <c r="C6" s="1295">
        <v>0.12</v>
      </c>
      <c r="D6" s="997" t="s">
        <v>1919</v>
      </c>
      <c r="E6" s="1000">
        <v>0.32</v>
      </c>
      <c r="F6" s="996">
        <v>0</v>
      </c>
      <c r="G6" s="1001">
        <f t="shared" si="0"/>
        <v>0</v>
      </c>
      <c r="H6" s="1291">
        <f>(G6+G7+G8+G9)/8.33</f>
        <v>0</v>
      </c>
    </row>
    <row r="7" spans="1:8" s="999" customFormat="1" ht="56.25">
      <c r="A7" s="1293"/>
      <c r="B7" s="1294"/>
      <c r="C7" s="1295"/>
      <c r="D7" s="997" t="s">
        <v>1920</v>
      </c>
      <c r="E7" s="1000">
        <v>0.22</v>
      </c>
      <c r="F7" s="996">
        <v>0</v>
      </c>
      <c r="G7" s="1001">
        <f t="shared" si="0"/>
        <v>0</v>
      </c>
      <c r="H7" s="1305"/>
    </row>
    <row r="8" spans="1:8" s="999" customFormat="1" ht="56.25">
      <c r="A8" s="1293"/>
      <c r="B8" s="1294"/>
      <c r="C8" s="1295"/>
      <c r="D8" s="995" t="s">
        <v>1921</v>
      </c>
      <c r="E8" s="1000">
        <v>0.22</v>
      </c>
      <c r="F8" s="996">
        <v>0</v>
      </c>
      <c r="G8" s="1001">
        <f t="shared" si="0"/>
        <v>0</v>
      </c>
      <c r="H8" s="1305"/>
    </row>
    <row r="9" spans="1:8" s="999" customFormat="1" ht="56.25">
      <c r="A9" s="1293"/>
      <c r="B9" s="1294"/>
      <c r="C9" s="1295"/>
      <c r="D9" s="997" t="s">
        <v>1922</v>
      </c>
      <c r="E9" s="1000">
        <v>0.24</v>
      </c>
      <c r="F9" s="996">
        <v>0</v>
      </c>
      <c r="G9" s="1001">
        <f t="shared" si="0"/>
        <v>0</v>
      </c>
      <c r="H9" s="1292"/>
    </row>
    <row r="10" spans="1:8" s="999" customFormat="1" ht="30.75" customHeight="1">
      <c r="A10" s="1293">
        <v>3</v>
      </c>
      <c r="B10" s="1299" t="s">
        <v>1448</v>
      </c>
      <c r="C10" s="1301">
        <v>0.08</v>
      </c>
      <c r="D10" s="995" t="s">
        <v>1449</v>
      </c>
      <c r="E10" s="1000">
        <v>0.5</v>
      </c>
      <c r="F10" s="996">
        <v>0</v>
      </c>
      <c r="G10" s="1001">
        <f t="shared" si="0"/>
        <v>0</v>
      </c>
      <c r="H10" s="1291">
        <f>(G10+G11)/12.5</f>
        <v>0</v>
      </c>
    </row>
    <row r="11" spans="1:8" s="999" customFormat="1" ht="60.75" customHeight="1">
      <c r="A11" s="1293"/>
      <c r="B11" s="1300"/>
      <c r="C11" s="1302"/>
      <c r="D11" s="995" t="s">
        <v>1450</v>
      </c>
      <c r="E11" s="1000">
        <v>0.5</v>
      </c>
      <c r="F11" s="996">
        <v>0</v>
      </c>
      <c r="G11" s="1001">
        <f t="shared" si="0"/>
        <v>0</v>
      </c>
      <c r="H11" s="1292"/>
    </row>
    <row r="12" spans="1:8" s="999" customFormat="1" ht="51.75" customHeight="1">
      <c r="A12" s="1297">
        <v>4</v>
      </c>
      <c r="B12" s="1299" t="s">
        <v>1923</v>
      </c>
      <c r="C12" s="1301">
        <v>0.16</v>
      </c>
      <c r="D12" s="995" t="s">
        <v>1924</v>
      </c>
      <c r="E12" s="1000">
        <v>0.33333333333333331</v>
      </c>
      <c r="F12" s="996">
        <v>0</v>
      </c>
      <c r="G12" s="1001">
        <f t="shared" si="0"/>
        <v>0</v>
      </c>
      <c r="H12" s="1291">
        <f>(G12+G13+G14)/6.25</f>
        <v>0</v>
      </c>
    </row>
    <row r="13" spans="1:8" s="999" customFormat="1" ht="43.5" customHeight="1">
      <c r="A13" s="1298"/>
      <c r="B13" s="1300"/>
      <c r="C13" s="1302"/>
      <c r="D13" s="995" t="s">
        <v>1925</v>
      </c>
      <c r="E13" s="1000">
        <v>0.37</v>
      </c>
      <c r="F13" s="996">
        <v>0</v>
      </c>
      <c r="G13" s="1001">
        <f t="shared" si="0"/>
        <v>0</v>
      </c>
      <c r="H13" s="1305"/>
    </row>
    <row r="14" spans="1:8" s="999" customFormat="1" ht="43.5" customHeight="1">
      <c r="A14" s="1298"/>
      <c r="B14" s="1300"/>
      <c r="C14" s="1302"/>
      <c r="D14" s="998" t="s">
        <v>1926</v>
      </c>
      <c r="E14" s="1000">
        <v>0.3</v>
      </c>
      <c r="F14" s="996">
        <v>0</v>
      </c>
      <c r="G14" s="1001">
        <f t="shared" si="0"/>
        <v>0</v>
      </c>
      <c r="H14" s="1292"/>
    </row>
    <row r="15" spans="1:8" s="999" customFormat="1" ht="75">
      <c r="A15" s="1297">
        <v>5</v>
      </c>
      <c r="B15" s="1294" t="s">
        <v>1927</v>
      </c>
      <c r="C15" s="1295">
        <v>0.18</v>
      </c>
      <c r="D15" s="995" t="s">
        <v>1928</v>
      </c>
      <c r="E15" s="1000">
        <v>0.34</v>
      </c>
      <c r="F15" s="996">
        <v>0</v>
      </c>
      <c r="G15" s="1001">
        <f t="shared" si="0"/>
        <v>0</v>
      </c>
      <c r="H15" s="1291">
        <f>(G15+G16+G17+G18+G19)/5.55</f>
        <v>0</v>
      </c>
    </row>
    <row r="16" spans="1:8" s="999" customFormat="1" ht="56.25">
      <c r="A16" s="1298"/>
      <c r="B16" s="1294"/>
      <c r="C16" s="1295"/>
      <c r="D16" s="997" t="s">
        <v>1929</v>
      </c>
      <c r="E16" s="1000">
        <v>0.14000000000000001</v>
      </c>
      <c r="F16" s="996">
        <v>0</v>
      </c>
      <c r="G16" s="1001">
        <f t="shared" si="0"/>
        <v>0</v>
      </c>
      <c r="H16" s="1305"/>
    </row>
    <row r="17" spans="1:8" s="999" customFormat="1" ht="75">
      <c r="A17" s="1298"/>
      <c r="B17" s="1294"/>
      <c r="C17" s="1295"/>
      <c r="D17" s="997" t="s">
        <v>1930</v>
      </c>
      <c r="E17" s="1000">
        <v>0.1</v>
      </c>
      <c r="F17" s="996">
        <v>0</v>
      </c>
      <c r="G17" s="1001">
        <f t="shared" si="0"/>
        <v>0</v>
      </c>
      <c r="H17" s="1305"/>
    </row>
    <row r="18" spans="1:8" s="999" customFormat="1" ht="56.25">
      <c r="A18" s="1298"/>
      <c r="B18" s="1294"/>
      <c r="C18" s="1295"/>
      <c r="D18" s="997" t="s">
        <v>1931</v>
      </c>
      <c r="E18" s="1000">
        <v>0.28000000000000003</v>
      </c>
      <c r="F18" s="996">
        <v>0</v>
      </c>
      <c r="G18" s="1001">
        <f t="shared" si="0"/>
        <v>0</v>
      </c>
      <c r="H18" s="1305"/>
    </row>
    <row r="19" spans="1:8" s="999" customFormat="1" ht="56.25">
      <c r="A19" s="1298"/>
      <c r="B19" s="1294"/>
      <c r="C19" s="1295"/>
      <c r="D19" s="995" t="s">
        <v>1932</v>
      </c>
      <c r="E19" s="1000">
        <v>0.14000000000000001</v>
      </c>
      <c r="F19" s="996">
        <v>0</v>
      </c>
      <c r="G19" s="1001">
        <f t="shared" si="0"/>
        <v>0</v>
      </c>
      <c r="H19" s="1292"/>
    </row>
    <row r="20" spans="1:8" s="999" customFormat="1" ht="77.25" customHeight="1">
      <c r="A20" s="1293">
        <v>6</v>
      </c>
      <c r="B20" s="1294" t="s">
        <v>1933</v>
      </c>
      <c r="C20" s="1303">
        <v>0.16</v>
      </c>
      <c r="D20" s="995" t="s">
        <v>1934</v>
      </c>
      <c r="E20" s="1000">
        <v>0.17142857142857101</v>
      </c>
      <c r="F20" s="996">
        <v>0</v>
      </c>
      <c r="G20" s="1001">
        <f t="shared" si="0"/>
        <v>0</v>
      </c>
      <c r="H20" s="1291">
        <f>(G20+G21+G22+G23+G24)/6.25</f>
        <v>0</v>
      </c>
    </row>
    <row r="21" spans="1:8" s="999" customFormat="1" ht="54.75" customHeight="1">
      <c r="A21" s="1293"/>
      <c r="B21" s="1294"/>
      <c r="C21" s="1304"/>
      <c r="D21" s="997" t="s">
        <v>1935</v>
      </c>
      <c r="E21" s="1000">
        <v>7.1428571428571425E-2</v>
      </c>
      <c r="F21" s="996">
        <v>0</v>
      </c>
      <c r="G21" s="1001">
        <f t="shared" si="0"/>
        <v>0</v>
      </c>
      <c r="H21" s="1305"/>
    </row>
    <row r="22" spans="1:8" s="999" customFormat="1" ht="39" customHeight="1">
      <c r="A22" s="1293"/>
      <c r="B22" s="1294"/>
      <c r="C22" s="1304"/>
      <c r="D22" s="997" t="s">
        <v>1936</v>
      </c>
      <c r="E22" s="1000">
        <v>0.2</v>
      </c>
      <c r="F22" s="996">
        <v>0</v>
      </c>
      <c r="G22" s="1001">
        <f t="shared" si="0"/>
        <v>0</v>
      </c>
      <c r="H22" s="1305"/>
    </row>
    <row r="23" spans="1:8" s="999" customFormat="1" ht="79.5" customHeight="1">
      <c r="A23" s="1293"/>
      <c r="B23" s="1294"/>
      <c r="C23" s="1304"/>
      <c r="D23" s="997" t="s">
        <v>1937</v>
      </c>
      <c r="E23" s="1000">
        <v>0.3</v>
      </c>
      <c r="F23" s="996">
        <v>0</v>
      </c>
      <c r="G23" s="1001">
        <f t="shared" si="0"/>
        <v>0</v>
      </c>
      <c r="H23" s="1305"/>
    </row>
    <row r="24" spans="1:8" s="999" customFormat="1" ht="75">
      <c r="A24" s="1293"/>
      <c r="B24" s="1294"/>
      <c r="C24" s="1304"/>
      <c r="D24" s="995" t="s">
        <v>1938</v>
      </c>
      <c r="E24" s="1000">
        <v>0.26</v>
      </c>
      <c r="F24" s="996">
        <v>0</v>
      </c>
      <c r="G24" s="1001">
        <f t="shared" si="0"/>
        <v>0</v>
      </c>
      <c r="H24" s="1292"/>
    </row>
    <row r="25" spans="1:8" s="999" customFormat="1" ht="45" customHeight="1">
      <c r="A25" s="1293">
        <v>7</v>
      </c>
      <c r="B25" s="1294" t="s">
        <v>1939</v>
      </c>
      <c r="C25" s="1295">
        <v>7.575757575757576E-2</v>
      </c>
      <c r="D25" s="995" t="s">
        <v>1940</v>
      </c>
      <c r="E25" s="1000">
        <v>0.67</v>
      </c>
      <c r="F25" s="996">
        <v>0</v>
      </c>
      <c r="G25" s="1001">
        <f t="shared" si="0"/>
        <v>0</v>
      </c>
      <c r="H25" s="1291">
        <f>(G25+G26)/12.5</f>
        <v>0</v>
      </c>
    </row>
    <row r="26" spans="1:8" s="999" customFormat="1" ht="63" customHeight="1">
      <c r="A26" s="1293"/>
      <c r="B26" s="1294"/>
      <c r="C26" s="1295"/>
      <c r="D26" s="995" t="s">
        <v>1452</v>
      </c>
      <c r="E26" s="1000">
        <v>0.33</v>
      </c>
      <c r="F26" s="996">
        <v>0</v>
      </c>
      <c r="G26" s="1001">
        <f t="shared" si="0"/>
        <v>0</v>
      </c>
      <c r="H26" s="1292"/>
    </row>
    <row r="27" spans="1:8" s="999" customFormat="1" ht="30.75" customHeight="1">
      <c r="A27" s="1293">
        <v>8</v>
      </c>
      <c r="B27" s="1294" t="s">
        <v>1941</v>
      </c>
      <c r="C27" s="1295">
        <v>6.0606060606060608E-2</v>
      </c>
      <c r="D27" s="995" t="s">
        <v>1453</v>
      </c>
      <c r="E27" s="1000">
        <v>0.5</v>
      </c>
      <c r="F27" s="996">
        <v>0</v>
      </c>
      <c r="G27" s="1001">
        <f t="shared" si="0"/>
        <v>0</v>
      </c>
      <c r="H27" s="1291">
        <f>(G27+G28)/16.6</f>
        <v>0</v>
      </c>
    </row>
    <row r="28" spans="1:8" s="999" customFormat="1" ht="56.25">
      <c r="A28" s="1293"/>
      <c r="B28" s="1294"/>
      <c r="C28" s="1295"/>
      <c r="D28" s="995" t="s">
        <v>1942</v>
      </c>
      <c r="E28" s="1000">
        <v>0.5</v>
      </c>
      <c r="F28" s="996">
        <v>0</v>
      </c>
      <c r="G28" s="1001">
        <f t="shared" si="0"/>
        <v>0</v>
      </c>
      <c r="H28" s="1292"/>
    </row>
    <row r="29" spans="1:8" s="1004" customFormat="1" ht="23.25" customHeight="1">
      <c r="A29" s="1007" t="s">
        <v>443</v>
      </c>
      <c r="B29" s="1008"/>
      <c r="C29" s="1010">
        <f>SUM(C4:C28)</f>
        <v>0.99636363636363634</v>
      </c>
      <c r="D29" s="1008"/>
      <c r="E29" s="1009"/>
      <c r="F29" s="1002"/>
      <c r="G29" s="1002"/>
      <c r="H29" s="1003">
        <f>H27+H25+H20+H15+H12+H10+H6+H4</f>
        <v>0</v>
      </c>
    </row>
    <row r="30" spans="1:8" s="1004" customFormat="1" ht="26.25" customHeight="1">
      <c r="A30" s="1296" t="s">
        <v>444</v>
      </c>
      <c r="B30" s="1296"/>
      <c r="C30" s="1296"/>
      <c r="D30" s="1296"/>
      <c r="E30" s="1296"/>
      <c r="F30" s="1002"/>
      <c r="G30" s="1002"/>
      <c r="H30" s="1005"/>
    </row>
    <row r="31" spans="1:8" s="25" customFormat="1" ht="15.75">
      <c r="A31" s="288" t="s">
        <v>182</v>
      </c>
      <c r="B31" s="289"/>
      <c r="C31" s="59"/>
      <c r="E31" s="642"/>
      <c r="F31" s="643"/>
      <c r="G31" s="112"/>
    </row>
    <row r="32" spans="1:8" s="25" customFormat="1" ht="17.25">
      <c r="A32" s="288" t="s">
        <v>589</v>
      </c>
      <c r="B32" s="289"/>
      <c r="C32" s="59"/>
      <c r="E32" s="642"/>
      <c r="F32" s="643"/>
      <c r="G32" s="112"/>
    </row>
    <row r="33" spans="1:7" s="25" customFormat="1" ht="17.25">
      <c r="A33" s="288" t="s">
        <v>590</v>
      </c>
      <c r="B33" s="289"/>
      <c r="C33" s="59"/>
      <c r="E33" s="642"/>
      <c r="F33" s="643"/>
      <c r="G33" s="112"/>
    </row>
    <row r="34" spans="1:7" s="25" customFormat="1" ht="17.25">
      <c r="A34" s="288" t="s">
        <v>591</v>
      </c>
      <c r="B34" s="289"/>
      <c r="C34" s="59"/>
      <c r="E34" s="642"/>
      <c r="F34" s="643"/>
      <c r="G34" s="112"/>
    </row>
    <row r="35" spans="1:7" s="25" customFormat="1" ht="17.25">
      <c r="A35" s="288" t="s">
        <v>592</v>
      </c>
      <c r="B35" s="289"/>
      <c r="C35" s="59"/>
      <c r="E35" s="642"/>
      <c r="F35" s="643"/>
      <c r="G35" s="112"/>
    </row>
    <row r="36" spans="1:7" s="25" customFormat="1" ht="17.25">
      <c r="A36" s="288" t="s">
        <v>593</v>
      </c>
      <c r="B36" s="289"/>
      <c r="C36" s="59"/>
      <c r="E36" s="642"/>
      <c r="F36" s="643"/>
      <c r="G36" s="112"/>
    </row>
    <row r="37" spans="1:7" s="25" customFormat="1" ht="17.25">
      <c r="A37" s="288" t="s">
        <v>594</v>
      </c>
      <c r="B37" s="289"/>
      <c r="C37" s="59"/>
      <c r="E37" s="642"/>
      <c r="F37" s="643"/>
      <c r="G37" s="112"/>
    </row>
    <row r="38" spans="1:7" s="25" customFormat="1" ht="17.25">
      <c r="A38" s="288" t="s">
        <v>595</v>
      </c>
      <c r="B38" s="289"/>
      <c r="C38" s="59"/>
      <c r="E38" s="642"/>
      <c r="F38" s="643"/>
      <c r="G38" s="112"/>
    </row>
    <row r="39" spans="1:7" s="25" customFormat="1" ht="15.75">
      <c r="A39" s="644" t="s">
        <v>596</v>
      </c>
      <c r="B39" s="289"/>
      <c r="C39" s="59"/>
      <c r="E39" s="642"/>
      <c r="F39" s="643"/>
      <c r="G39" s="112"/>
    </row>
    <row r="40" spans="1:7" s="25" customFormat="1" ht="15.75">
      <c r="A40" s="288" t="s">
        <v>597</v>
      </c>
      <c r="B40" s="289"/>
      <c r="C40" s="59"/>
      <c r="E40" s="642"/>
      <c r="F40" s="643"/>
      <c r="G40" s="112"/>
    </row>
    <row r="41" spans="1:7" s="25" customFormat="1" ht="15.75">
      <c r="A41" s="288" t="s">
        <v>792</v>
      </c>
      <c r="B41" s="289"/>
      <c r="C41" s="59"/>
      <c r="E41" s="642"/>
      <c r="F41" s="643"/>
      <c r="G41" s="112"/>
    </row>
    <row r="42" spans="1:7" s="25" customFormat="1" ht="15.75">
      <c r="A42" s="288" t="s">
        <v>793</v>
      </c>
      <c r="B42" s="289"/>
      <c r="C42" s="59"/>
      <c r="E42" s="642"/>
      <c r="F42" s="643"/>
      <c r="G42" s="112"/>
    </row>
    <row r="43" spans="1:7" s="25" customFormat="1" ht="15.75">
      <c r="A43" s="288" t="s">
        <v>794</v>
      </c>
      <c r="B43" s="289"/>
      <c r="C43" s="59"/>
      <c r="E43" s="642"/>
      <c r="F43" s="643"/>
      <c r="G43" s="112"/>
    </row>
    <row r="44" spans="1:7" s="25" customFormat="1" ht="15.75">
      <c r="A44" s="59"/>
      <c r="B44" s="59" t="s">
        <v>20</v>
      </c>
      <c r="C44" s="59"/>
      <c r="D44" s="59"/>
      <c r="E44" s="59"/>
      <c r="F44" s="59"/>
      <c r="G44" s="59"/>
    </row>
    <row r="45" spans="1:7" s="25" customFormat="1" ht="15.75">
      <c r="A45" s="645"/>
      <c r="B45" s="645"/>
      <c r="C45" s="645"/>
      <c r="D45" s="645"/>
      <c r="E45" s="645"/>
      <c r="F45" s="645"/>
      <c r="G45" s="645"/>
    </row>
    <row r="46" spans="1:7" s="25" customFormat="1" ht="15.75">
      <c r="A46" s="645"/>
      <c r="B46" s="645"/>
      <c r="C46" s="645"/>
      <c r="D46" s="645"/>
      <c r="E46" s="645"/>
      <c r="F46" s="645"/>
      <c r="G46" s="645"/>
    </row>
    <row r="47" spans="1:7" s="25" customFormat="1" ht="15.75">
      <c r="A47" s="645"/>
      <c r="B47" s="645"/>
      <c r="C47" s="645"/>
      <c r="D47" s="645"/>
      <c r="E47" s="645"/>
      <c r="F47" s="645"/>
      <c r="G47" s="645"/>
    </row>
    <row r="48" spans="1:7" s="25" customFormat="1" ht="15.75">
      <c r="A48" s="645"/>
      <c r="B48" s="645"/>
      <c r="C48" s="645"/>
      <c r="D48" s="645"/>
      <c r="E48" s="645"/>
      <c r="F48" s="645"/>
      <c r="G48" s="645"/>
    </row>
    <row r="49" spans="1:7" s="25" customFormat="1" ht="15.75">
      <c r="A49" s="645"/>
      <c r="B49" s="645"/>
      <c r="C49" s="645"/>
      <c r="D49" s="645"/>
      <c r="E49" s="645"/>
      <c r="F49" s="645"/>
      <c r="G49" s="645"/>
    </row>
    <row r="50" spans="1:7" s="25" customFormat="1" ht="15.75">
      <c r="A50" s="645"/>
      <c r="B50" s="645"/>
      <c r="C50" s="645"/>
      <c r="D50" s="645"/>
      <c r="E50" s="645"/>
      <c r="F50" s="645"/>
      <c r="G50" s="645"/>
    </row>
    <row r="51" spans="1:7" s="25" customFormat="1" ht="15.75">
      <c r="A51" s="645"/>
      <c r="B51" s="645"/>
      <c r="C51" s="645"/>
      <c r="D51" s="645"/>
      <c r="E51" s="645"/>
      <c r="F51" s="645"/>
      <c r="G51" s="645"/>
    </row>
    <row r="52" spans="1:7" s="25" customFormat="1" ht="15.75">
      <c r="A52" s="645"/>
      <c r="B52" s="645"/>
      <c r="C52" s="645"/>
      <c r="D52" s="645"/>
      <c r="E52" s="645"/>
      <c r="F52" s="645"/>
      <c r="G52" s="645"/>
    </row>
    <row r="53" spans="1:7" s="25" customFormat="1" ht="15.75">
      <c r="A53" s="645"/>
      <c r="B53" s="645"/>
      <c r="C53" s="645"/>
      <c r="D53" s="645"/>
      <c r="E53" s="645"/>
      <c r="F53" s="645"/>
      <c r="G53" s="645"/>
    </row>
    <row r="54" spans="1:7" s="25" customFormat="1" ht="15.75">
      <c r="A54" s="645"/>
      <c r="B54" s="645"/>
      <c r="C54" s="645"/>
      <c r="D54" s="645"/>
      <c r="E54" s="645"/>
      <c r="F54" s="645"/>
      <c r="G54" s="645"/>
    </row>
    <row r="55" spans="1:7" s="25" customFormat="1" ht="15.75">
      <c r="A55" s="645"/>
      <c r="B55" s="645"/>
      <c r="C55" s="645"/>
      <c r="D55" s="645"/>
      <c r="E55" s="645"/>
      <c r="F55" s="645"/>
      <c r="G55" s="645"/>
    </row>
    <row r="56" spans="1:7" s="25" customFormat="1" ht="15.75">
      <c r="A56" s="645"/>
      <c r="B56" s="645"/>
      <c r="C56" s="645"/>
      <c r="D56" s="645"/>
      <c r="E56" s="645"/>
      <c r="F56" s="645"/>
      <c r="G56" s="645"/>
    </row>
    <row r="57" spans="1:7" s="25" customFormat="1" ht="15.75">
      <c r="A57" s="645"/>
      <c r="B57" s="645"/>
      <c r="C57" s="645"/>
      <c r="D57" s="645"/>
      <c r="E57" s="645"/>
      <c r="F57" s="645"/>
      <c r="G57" s="645"/>
    </row>
    <row r="58" spans="1:7" s="25" customFormat="1" ht="15.75">
      <c r="A58" s="645"/>
      <c r="B58" s="645"/>
      <c r="C58" s="645"/>
      <c r="D58" s="645"/>
      <c r="E58" s="645"/>
      <c r="F58" s="645"/>
      <c r="G58" s="645"/>
    </row>
    <row r="59" spans="1:7" s="25" customFormat="1" ht="15.75">
      <c r="A59" s="59"/>
      <c r="B59" s="646" t="s">
        <v>2418</v>
      </c>
      <c r="C59" s="646"/>
      <c r="D59" s="646"/>
      <c r="E59" s="646"/>
      <c r="F59" s="646"/>
      <c r="G59" s="646"/>
    </row>
    <row r="60" spans="1:7" s="25" customFormat="1" ht="15.75">
      <c r="A60" s="59"/>
      <c r="B60" s="391"/>
      <c r="C60" s="391"/>
      <c r="D60" s="391"/>
      <c r="E60" s="391"/>
      <c r="F60" s="391"/>
      <c r="G60" s="391"/>
    </row>
    <row r="61" spans="1:7" s="25" customFormat="1" ht="15.75">
      <c r="A61" s="59"/>
      <c r="B61" s="646" t="s">
        <v>22</v>
      </c>
      <c r="C61" s="646"/>
      <c r="D61" s="646"/>
      <c r="E61" s="646"/>
      <c r="F61" s="646"/>
      <c r="G61" s="646"/>
    </row>
    <row r="62" spans="1:7" s="25" customFormat="1" ht="15.75">
      <c r="A62" s="59"/>
      <c r="B62" s="391"/>
      <c r="C62" s="391"/>
      <c r="D62" s="391"/>
      <c r="E62" s="391"/>
      <c r="F62" s="391"/>
      <c r="G62" s="391"/>
    </row>
    <row r="63" spans="1:7" s="25" customFormat="1" ht="15.75">
      <c r="A63" s="59"/>
      <c r="B63" s="646" t="s">
        <v>23</v>
      </c>
      <c r="C63" s="646"/>
      <c r="D63" s="646"/>
      <c r="E63" s="646"/>
      <c r="F63" s="646"/>
      <c r="G63" s="646"/>
    </row>
    <row r="64" spans="1:7" s="25" customFormat="1" ht="15.75">
      <c r="A64" s="59"/>
      <c r="B64" s="646" t="s">
        <v>24</v>
      </c>
      <c r="C64" s="646"/>
      <c r="D64" s="646"/>
      <c r="E64" s="646"/>
      <c r="F64" s="646"/>
      <c r="G64" s="646"/>
    </row>
  </sheetData>
  <mergeCells count="34">
    <mergeCell ref="A2:H2"/>
    <mergeCell ref="A4:A5"/>
    <mergeCell ref="B4:B5"/>
    <mergeCell ref="C4:C5"/>
    <mergeCell ref="A10:A11"/>
    <mergeCell ref="B10:B11"/>
    <mergeCell ref="C10:C11"/>
    <mergeCell ref="H10:H11"/>
    <mergeCell ref="H20:H24"/>
    <mergeCell ref="H4:H5"/>
    <mergeCell ref="A6:A9"/>
    <mergeCell ref="B6:B9"/>
    <mergeCell ref="C6:C9"/>
    <mergeCell ref="H6:H9"/>
    <mergeCell ref="H12:H14"/>
    <mergeCell ref="H15:H19"/>
    <mergeCell ref="A30:E30"/>
    <mergeCell ref="A12:A14"/>
    <mergeCell ref="B12:B14"/>
    <mergeCell ref="C12:C14"/>
    <mergeCell ref="A25:A26"/>
    <mergeCell ref="B25:B26"/>
    <mergeCell ref="C25:C26"/>
    <mergeCell ref="A20:A24"/>
    <mergeCell ref="B20:B24"/>
    <mergeCell ref="C20:C24"/>
    <mergeCell ref="A15:A19"/>
    <mergeCell ref="B15:B19"/>
    <mergeCell ref="C15:C19"/>
    <mergeCell ref="H25:H26"/>
    <mergeCell ref="A27:A28"/>
    <mergeCell ref="B27:B28"/>
    <mergeCell ref="C27:C28"/>
    <mergeCell ref="H27:H28"/>
  </mergeCells>
  <phoneticPr fontId="4" type="noConversion"/>
  <pageMargins left="0.7" right="0.7" top="0.75" bottom="0.75" header="0.3" footer="0.3"/>
  <pageSetup paperSize="9" scale="50" orientation="portrait" r:id="rId1"/>
</worksheet>
</file>

<file path=xl/worksheets/sheet25.xml><?xml version="1.0" encoding="utf-8"?>
<worksheet xmlns="http://schemas.openxmlformats.org/spreadsheetml/2006/main" xmlns:r="http://schemas.openxmlformats.org/officeDocument/2006/relationships">
  <dimension ref="A1:J68"/>
  <sheetViews>
    <sheetView topLeftCell="A29" workbookViewId="0">
      <selection activeCell="G33" sqref="G33"/>
    </sheetView>
  </sheetViews>
  <sheetFormatPr defaultRowHeight="15.75"/>
  <cols>
    <col min="1" max="1" width="6.140625" style="273" customWidth="1"/>
    <col min="2" max="2" width="20.5703125" style="274" customWidth="1"/>
    <col min="3" max="3" width="11.42578125" style="275" customWidth="1"/>
    <col min="4" max="4" width="38.5703125" style="8" customWidth="1"/>
    <col min="5" max="5" width="12.28515625" style="276" customWidth="1"/>
    <col min="6" max="6" width="12.42578125" style="765" customWidth="1"/>
    <col min="7" max="7" width="13.140625" style="275" customWidth="1"/>
    <col min="8" max="16384" width="9.140625" style="273"/>
  </cols>
  <sheetData>
    <row r="1" spans="1:7" ht="15.75" customHeight="1">
      <c r="A1" s="1186" t="s">
        <v>446</v>
      </c>
      <c r="B1" s="1186"/>
      <c r="C1" s="1186"/>
      <c r="D1" s="1186"/>
      <c r="E1" s="1186"/>
      <c r="F1" s="1186"/>
      <c r="G1" s="1186"/>
    </row>
    <row r="2" spans="1:7" ht="63" customHeight="1">
      <c r="A2" s="1186" t="s">
        <v>2300</v>
      </c>
      <c r="B2" s="1186"/>
      <c r="C2" s="1186"/>
      <c r="D2" s="1186"/>
      <c r="E2" s="1186"/>
      <c r="F2" s="1186"/>
      <c r="G2" s="1186"/>
    </row>
    <row r="3" spans="1:7" hidden="1"/>
    <row r="4" spans="1:7" ht="47.25" customHeight="1">
      <c r="A4" s="5" t="s">
        <v>434</v>
      </c>
      <c r="B4" s="766" t="s">
        <v>338</v>
      </c>
      <c r="C4" s="5" t="s">
        <v>771</v>
      </c>
      <c r="D4" s="5" t="s">
        <v>333</v>
      </c>
      <c r="E4" s="5" t="s">
        <v>337</v>
      </c>
      <c r="F4" s="420" t="s">
        <v>770</v>
      </c>
      <c r="G4" s="5" t="s">
        <v>82</v>
      </c>
    </row>
    <row r="5" spans="1:7" ht="47.25">
      <c r="A5" s="1283">
        <v>1</v>
      </c>
      <c r="B5" s="1307" t="s">
        <v>2301</v>
      </c>
      <c r="C5" s="1282">
        <v>0.33</v>
      </c>
      <c r="D5" s="277" t="s">
        <v>722</v>
      </c>
      <c r="E5" s="767">
        <f>9/66</f>
        <v>0.13636363636363635</v>
      </c>
      <c r="F5" s="733"/>
      <c r="G5" s="768">
        <f t="shared" ref="G5:G15" si="0">E5*F5</f>
        <v>0</v>
      </c>
    </row>
    <row r="6" spans="1:7" ht="48.75" customHeight="1">
      <c r="A6" s="1283"/>
      <c r="B6" s="1307"/>
      <c r="C6" s="1282"/>
      <c r="D6" s="86" t="s">
        <v>2302</v>
      </c>
      <c r="E6" s="767">
        <f>8/66</f>
        <v>0.12121212121212122</v>
      </c>
      <c r="F6" s="733"/>
      <c r="G6" s="768">
        <f t="shared" si="0"/>
        <v>0</v>
      </c>
    </row>
    <row r="7" spans="1:7" ht="65.25" customHeight="1">
      <c r="A7" s="1283"/>
      <c r="B7" s="1307"/>
      <c r="C7" s="1282"/>
      <c r="D7" s="2" t="s">
        <v>2303</v>
      </c>
      <c r="E7" s="767">
        <f>8/65</f>
        <v>0.12307692307692308</v>
      </c>
      <c r="F7" s="733"/>
      <c r="G7" s="768">
        <f t="shared" si="0"/>
        <v>0</v>
      </c>
    </row>
    <row r="8" spans="1:7" ht="63.75" customHeight="1">
      <c r="A8" s="1283"/>
      <c r="B8" s="1307"/>
      <c r="C8" s="1282"/>
      <c r="D8" s="2" t="s">
        <v>2304</v>
      </c>
      <c r="E8" s="767">
        <f>8/65</f>
        <v>0.12307692307692308</v>
      </c>
      <c r="F8" s="733"/>
      <c r="G8" s="768">
        <f t="shared" si="0"/>
        <v>0</v>
      </c>
    </row>
    <row r="9" spans="1:7" ht="46.5" customHeight="1">
      <c r="A9" s="1283"/>
      <c r="B9" s="1307"/>
      <c r="C9" s="1282"/>
      <c r="D9" s="2" t="s">
        <v>2305</v>
      </c>
      <c r="E9" s="767">
        <f>7/65</f>
        <v>0.1076923076923077</v>
      </c>
      <c r="F9" s="733"/>
      <c r="G9" s="768">
        <f t="shared" si="0"/>
        <v>0</v>
      </c>
    </row>
    <row r="10" spans="1:7" ht="39" customHeight="1">
      <c r="A10" s="1283"/>
      <c r="B10" s="1307"/>
      <c r="C10" s="1282"/>
      <c r="D10" s="2" t="s">
        <v>2306</v>
      </c>
      <c r="E10" s="767">
        <f>7/65</f>
        <v>0.1076923076923077</v>
      </c>
      <c r="F10" s="733"/>
      <c r="G10" s="768">
        <f t="shared" si="0"/>
        <v>0</v>
      </c>
    </row>
    <row r="11" spans="1:7" ht="34.5" customHeight="1">
      <c r="A11" s="1283"/>
      <c r="B11" s="1307"/>
      <c r="C11" s="1282"/>
      <c r="D11" s="2" t="s">
        <v>2307</v>
      </c>
      <c r="E11" s="767">
        <f>7/65</f>
        <v>0.1076923076923077</v>
      </c>
      <c r="F11" s="733"/>
      <c r="G11" s="768">
        <f t="shared" si="0"/>
        <v>0</v>
      </c>
    </row>
    <row r="12" spans="1:7" ht="17.25" customHeight="1">
      <c r="A12" s="1283"/>
      <c r="B12" s="1307"/>
      <c r="C12" s="1282"/>
      <c r="D12" s="2" t="s">
        <v>466</v>
      </c>
      <c r="E12" s="767">
        <f>5/65</f>
        <v>7.6923076923076927E-2</v>
      </c>
      <c r="F12" s="733"/>
      <c r="G12" s="768">
        <f t="shared" si="0"/>
        <v>0</v>
      </c>
    </row>
    <row r="13" spans="1:7" ht="16.5" customHeight="1">
      <c r="A13" s="1283"/>
      <c r="B13" s="1307"/>
      <c r="C13" s="1282"/>
      <c r="D13" s="2" t="s">
        <v>467</v>
      </c>
      <c r="E13" s="767">
        <f>2/65</f>
        <v>3.0769230769230771E-2</v>
      </c>
      <c r="F13" s="733"/>
      <c r="G13" s="768">
        <f t="shared" si="0"/>
        <v>0</v>
      </c>
    </row>
    <row r="14" spans="1:7" ht="18.75" customHeight="1">
      <c r="A14" s="1283"/>
      <c r="B14" s="1307"/>
      <c r="C14" s="1282"/>
      <c r="D14" s="2" t="s">
        <v>468</v>
      </c>
      <c r="E14" s="767">
        <f>2/65</f>
        <v>3.0769230769230771E-2</v>
      </c>
      <c r="F14" s="733"/>
      <c r="G14" s="768">
        <f t="shared" si="0"/>
        <v>0</v>
      </c>
    </row>
    <row r="15" spans="1:7" ht="33" customHeight="1">
      <c r="A15" s="1283"/>
      <c r="B15" s="1307"/>
      <c r="C15" s="1282"/>
      <c r="D15" s="2" t="s">
        <v>469</v>
      </c>
      <c r="E15" s="767">
        <f>2/65</f>
        <v>3.0769230769230771E-2</v>
      </c>
      <c r="F15" s="733"/>
      <c r="G15" s="768">
        <f t="shared" si="0"/>
        <v>0</v>
      </c>
    </row>
    <row r="16" spans="1:7" ht="16.5" customHeight="1">
      <c r="A16" s="87"/>
      <c r="B16" s="769" t="s">
        <v>1982</v>
      </c>
      <c r="C16" s="280"/>
      <c r="D16" s="90"/>
      <c r="E16" s="280">
        <f>SUM(E5:E15)</f>
        <v>0.99603729603729618</v>
      </c>
      <c r="F16" s="280">
        <f>SUM(F5:F15)</f>
        <v>0</v>
      </c>
      <c r="G16" s="280">
        <f>C5*SUM(G5:G15)</f>
        <v>0</v>
      </c>
    </row>
    <row r="17" spans="1:10" ht="64.5" customHeight="1">
      <c r="A17" s="1283">
        <v>2</v>
      </c>
      <c r="B17" s="1307" t="s">
        <v>2308</v>
      </c>
      <c r="C17" s="1282">
        <v>0.45</v>
      </c>
      <c r="D17" s="2" t="s">
        <v>1766</v>
      </c>
      <c r="E17" s="767">
        <f>5.5/45</f>
        <v>0.12222222222222222</v>
      </c>
      <c r="F17" s="733"/>
      <c r="G17" s="768">
        <f>E17*F17</f>
        <v>0</v>
      </c>
    </row>
    <row r="18" spans="1:10" ht="51" customHeight="1">
      <c r="A18" s="1283"/>
      <c r="B18" s="1307"/>
      <c r="C18" s="1282"/>
      <c r="D18" s="2" t="s">
        <v>1767</v>
      </c>
      <c r="E18" s="767">
        <f>5.5/45</f>
        <v>0.12222222222222222</v>
      </c>
      <c r="F18" s="733"/>
      <c r="G18" s="768"/>
    </row>
    <row r="19" spans="1:10" ht="65.25" customHeight="1">
      <c r="A19" s="1283"/>
      <c r="B19" s="1307"/>
      <c r="C19" s="1282"/>
      <c r="D19" s="2" t="s">
        <v>1768</v>
      </c>
      <c r="E19" s="767">
        <f>5.5/45</f>
        <v>0.12222222222222222</v>
      </c>
      <c r="F19" s="733"/>
      <c r="G19" s="768">
        <f>E19*F19</f>
        <v>0</v>
      </c>
    </row>
    <row r="20" spans="1:10" ht="65.25" customHeight="1">
      <c r="A20" s="1283"/>
      <c r="B20" s="1307"/>
      <c r="C20" s="1282"/>
      <c r="D20" s="2" t="s">
        <v>1769</v>
      </c>
      <c r="E20" s="767">
        <f>5.5/45</f>
        <v>0.12222222222222222</v>
      </c>
      <c r="F20" s="733"/>
      <c r="G20" s="768"/>
    </row>
    <row r="21" spans="1:10" ht="77.25" customHeight="1">
      <c r="A21" s="1283"/>
      <c r="B21" s="1307"/>
      <c r="C21" s="1282"/>
      <c r="D21" s="2" t="s">
        <v>1770</v>
      </c>
      <c r="E21" s="767">
        <f>5.5/45</f>
        <v>0.12222222222222222</v>
      </c>
      <c r="F21" s="733"/>
      <c r="G21" s="768">
        <f>E21*F21</f>
        <v>0</v>
      </c>
    </row>
    <row r="22" spans="1:10" ht="144.75" customHeight="1">
      <c r="A22" s="1283"/>
      <c r="B22" s="1307"/>
      <c r="C22" s="1282"/>
      <c r="D22" s="2" t="s">
        <v>1771</v>
      </c>
      <c r="E22" s="767">
        <f>4.5/45</f>
        <v>0.1</v>
      </c>
      <c r="F22" s="733"/>
      <c r="G22" s="768">
        <f>E22*F22</f>
        <v>0</v>
      </c>
    </row>
    <row r="23" spans="1:10" ht="51" customHeight="1">
      <c r="A23" s="1283"/>
      <c r="B23" s="1307"/>
      <c r="C23" s="1282"/>
      <c r="D23" s="927" t="s">
        <v>1772</v>
      </c>
      <c r="E23" s="767">
        <f>5/45</f>
        <v>0.1111111111111111</v>
      </c>
      <c r="F23" s="733"/>
      <c r="G23" s="768">
        <f>E23*F23</f>
        <v>0</v>
      </c>
    </row>
    <row r="24" spans="1:10" ht="51" customHeight="1">
      <c r="A24" s="1283"/>
      <c r="B24" s="1307"/>
      <c r="C24" s="1282"/>
      <c r="D24" s="928" t="s">
        <v>1773</v>
      </c>
      <c r="E24" s="767">
        <f>4/45</f>
        <v>8.8888888888888892E-2</v>
      </c>
      <c r="F24" s="733"/>
      <c r="G24" s="768">
        <f>E24*F24</f>
        <v>0</v>
      </c>
    </row>
    <row r="25" spans="1:10" ht="31.5">
      <c r="A25" s="1283"/>
      <c r="B25" s="1307"/>
      <c r="C25" s="1282"/>
      <c r="D25" s="2" t="s">
        <v>1774</v>
      </c>
      <c r="E25" s="767">
        <f>4/45</f>
        <v>8.8888888888888892E-2</v>
      </c>
      <c r="F25" s="733"/>
      <c r="G25" s="768">
        <f>E25*F25</f>
        <v>0</v>
      </c>
    </row>
    <row r="26" spans="1:10" ht="15.75" customHeight="1">
      <c r="A26" s="87"/>
      <c r="B26" s="769" t="s">
        <v>1982</v>
      </c>
      <c r="C26" s="280"/>
      <c r="D26" s="90"/>
      <c r="E26" s="280">
        <f>SUM(E17:E25)</f>
        <v>1</v>
      </c>
      <c r="F26" s="280">
        <f>SUM(F15:F25)</f>
        <v>0</v>
      </c>
      <c r="G26" s="280">
        <f>C17*SUM(G17:G25)</f>
        <v>0</v>
      </c>
    </row>
    <row r="27" spans="1:10" ht="51" customHeight="1">
      <c r="A27" s="1283">
        <v>3</v>
      </c>
      <c r="B27" s="1307" t="s">
        <v>1775</v>
      </c>
      <c r="C27" s="1282">
        <v>0.22</v>
      </c>
      <c r="D27" s="2" t="s">
        <v>1776</v>
      </c>
      <c r="E27" s="767">
        <f>1.5/6</f>
        <v>0.25</v>
      </c>
      <c r="F27" s="733"/>
      <c r="G27" s="279">
        <f>E27*F27</f>
        <v>0</v>
      </c>
    </row>
    <row r="28" spans="1:10" ht="47.25" customHeight="1">
      <c r="A28" s="1283"/>
      <c r="B28" s="1307"/>
      <c r="C28" s="1282"/>
      <c r="D28" s="2" t="s">
        <v>1777</v>
      </c>
      <c r="E28" s="767">
        <f>1.5/6</f>
        <v>0.25</v>
      </c>
      <c r="F28" s="733"/>
      <c r="G28" s="768">
        <f>E28*F28</f>
        <v>0</v>
      </c>
    </row>
    <row r="29" spans="1:10" ht="82.5" customHeight="1">
      <c r="A29" s="1283"/>
      <c r="B29" s="1307"/>
      <c r="C29" s="1282"/>
      <c r="D29" s="2" t="s">
        <v>1778</v>
      </c>
      <c r="E29" s="767">
        <f>3/6</f>
        <v>0.5</v>
      </c>
      <c r="F29" s="733"/>
      <c r="G29" s="768">
        <f>E29*F29</f>
        <v>0</v>
      </c>
    </row>
    <row r="30" spans="1:10" ht="15.75" customHeight="1">
      <c r="A30" s="87"/>
      <c r="B30" s="769" t="s">
        <v>1982</v>
      </c>
      <c r="C30" s="280">
        <v>1</v>
      </c>
      <c r="D30" s="90"/>
      <c r="E30" s="280">
        <f>SUM(E27:E29)</f>
        <v>1</v>
      </c>
      <c r="F30" s="280">
        <f>SUM(F19:F29)</f>
        <v>0</v>
      </c>
      <c r="G30" s="280">
        <f>C27*SUM(G27:G29)</f>
        <v>0</v>
      </c>
    </row>
    <row r="31" spans="1:10">
      <c r="A31" s="280"/>
      <c r="B31" s="775" t="s">
        <v>1640</v>
      </c>
      <c r="C31" s="776"/>
      <c r="D31" s="90"/>
      <c r="E31" s="280"/>
      <c r="F31" s="770"/>
      <c r="G31" s="774">
        <v>0</v>
      </c>
    </row>
    <row r="32" spans="1:10" ht="16.5">
      <c r="A32" s="1308" t="s">
        <v>443</v>
      </c>
      <c r="B32" s="1308"/>
      <c r="C32" s="1308"/>
      <c r="D32" s="90"/>
      <c r="E32" s="280"/>
      <c r="F32" s="770"/>
      <c r="G32" s="280">
        <v>0</v>
      </c>
      <c r="J32" s="273" t="s">
        <v>907</v>
      </c>
    </row>
    <row r="33" spans="1:7" ht="16.5">
      <c r="A33" s="1308" t="s">
        <v>444</v>
      </c>
      <c r="B33" s="1308"/>
      <c r="C33" s="1308"/>
      <c r="D33" s="94"/>
      <c r="E33" s="284"/>
      <c r="F33" s="777"/>
      <c r="G33" s="285" t="str">
        <f>IF(G32&lt;=0.5,"низький",IF(G32&lt;=0.75,"середній",(IF(G32&lt;=0.95,"достатній",(IF(G32&lt;=1,"високий"))))))</f>
        <v>низький</v>
      </c>
    </row>
    <row r="34" spans="1:7" s="302" customFormat="1">
      <c r="A34" s="288" t="s">
        <v>182</v>
      </c>
      <c r="B34" s="289"/>
      <c r="C34" s="342"/>
      <c r="E34" s="343"/>
      <c r="F34" s="344"/>
      <c r="G34" s="112"/>
    </row>
    <row r="35" spans="1:7" s="302" customFormat="1" ht="17.25">
      <c r="A35" s="345" t="s">
        <v>589</v>
      </c>
      <c r="B35" s="346"/>
      <c r="C35" s="347"/>
      <c r="D35" s="303"/>
      <c r="E35" s="348"/>
      <c r="F35" s="349"/>
      <c r="G35" s="112"/>
    </row>
    <row r="36" spans="1:7" s="302" customFormat="1" ht="17.25">
      <c r="A36" s="345" t="s">
        <v>590</v>
      </c>
      <c r="B36" s="346"/>
      <c r="C36" s="347"/>
      <c r="D36" s="303"/>
      <c r="E36" s="348"/>
      <c r="F36" s="349"/>
      <c r="G36" s="112"/>
    </row>
    <row r="37" spans="1:7" s="302" customFormat="1" ht="17.25">
      <c r="A37" s="345" t="s">
        <v>591</v>
      </c>
      <c r="B37" s="346"/>
      <c r="C37" s="347"/>
      <c r="D37" s="303"/>
      <c r="E37" s="348"/>
      <c r="F37" s="349"/>
      <c r="G37" s="112"/>
    </row>
    <row r="38" spans="1:7" s="302" customFormat="1" ht="17.25">
      <c r="A38" s="345" t="s">
        <v>592</v>
      </c>
      <c r="B38" s="346"/>
      <c r="C38" s="347"/>
      <c r="D38" s="303"/>
      <c r="E38" s="348"/>
      <c r="F38" s="349"/>
      <c r="G38" s="112"/>
    </row>
    <row r="39" spans="1:7" s="302" customFormat="1" ht="17.25">
      <c r="A39" s="345" t="s">
        <v>593</v>
      </c>
      <c r="B39" s="346"/>
      <c r="C39" s="347"/>
      <c r="D39" s="303"/>
      <c r="E39" s="348"/>
      <c r="F39" s="349"/>
      <c r="G39" s="112"/>
    </row>
    <row r="40" spans="1:7" s="302" customFormat="1" ht="17.25">
      <c r="A40" s="345" t="s">
        <v>594</v>
      </c>
      <c r="B40" s="346"/>
      <c r="C40" s="347"/>
      <c r="D40" s="303"/>
      <c r="E40" s="348"/>
      <c r="F40" s="349"/>
      <c r="G40" s="112"/>
    </row>
    <row r="41" spans="1:7" s="302" customFormat="1" ht="17.25">
      <c r="A41" s="345" t="s">
        <v>595</v>
      </c>
      <c r="B41" s="346"/>
      <c r="C41" s="347"/>
      <c r="D41" s="303"/>
      <c r="E41" s="348"/>
      <c r="F41" s="349"/>
      <c r="G41" s="112"/>
    </row>
    <row r="42" spans="1:7" s="302" customFormat="1">
      <c r="A42" s="350" t="s">
        <v>596</v>
      </c>
      <c r="B42" s="346"/>
      <c r="C42" s="347"/>
      <c r="D42" s="303"/>
      <c r="E42" s="348"/>
      <c r="F42" s="349"/>
      <c r="G42" s="112"/>
    </row>
    <row r="43" spans="1:7" s="302" customFormat="1">
      <c r="A43" s="345" t="s">
        <v>597</v>
      </c>
      <c r="B43" s="346"/>
      <c r="C43" s="347"/>
      <c r="D43" s="303"/>
      <c r="E43" s="348"/>
      <c r="F43" s="349"/>
      <c r="G43" s="112"/>
    </row>
    <row r="44" spans="1:7" s="302" customFormat="1">
      <c r="A44" s="288" t="s">
        <v>792</v>
      </c>
      <c r="B44" s="346"/>
      <c r="C44" s="347"/>
      <c r="D44" s="303"/>
      <c r="E44" s="348"/>
      <c r="F44" s="349"/>
      <c r="G44" s="112"/>
    </row>
    <row r="45" spans="1:7" s="302" customFormat="1">
      <c r="A45" s="288" t="s">
        <v>793</v>
      </c>
      <c r="B45" s="346"/>
      <c r="C45" s="347"/>
      <c r="D45" s="303"/>
      <c r="E45" s="348"/>
      <c r="F45" s="349"/>
      <c r="G45" s="112"/>
    </row>
    <row r="46" spans="1:7" s="302" customFormat="1">
      <c r="A46" s="288" t="s">
        <v>794</v>
      </c>
      <c r="B46" s="346"/>
      <c r="C46" s="347"/>
      <c r="D46" s="303"/>
      <c r="E46" s="348"/>
      <c r="F46" s="349"/>
      <c r="G46" s="112"/>
    </row>
    <row r="47" spans="1:7" s="302" customFormat="1">
      <c r="A47" s="342"/>
      <c r="B47" s="342" t="s">
        <v>20</v>
      </c>
      <c r="C47" s="342"/>
      <c r="D47" s="342"/>
      <c r="E47" s="342"/>
      <c r="F47" s="342"/>
      <c r="G47" s="342"/>
    </row>
    <row r="48" spans="1:7" s="302" customFormat="1">
      <c r="A48" s="351"/>
      <c r="B48" s="351"/>
      <c r="C48" s="351"/>
      <c r="D48" s="351"/>
      <c r="E48" s="351"/>
      <c r="F48" s="351"/>
      <c r="G48" s="351"/>
    </row>
    <row r="49" spans="1:7" s="302" customFormat="1">
      <c r="A49" s="351"/>
      <c r="B49" s="351"/>
      <c r="C49" s="351"/>
      <c r="D49" s="351"/>
      <c r="E49" s="351"/>
      <c r="F49" s="351"/>
      <c r="G49" s="351"/>
    </row>
    <row r="50" spans="1:7" s="302" customFormat="1">
      <c r="A50" s="351"/>
      <c r="B50" s="351"/>
      <c r="C50" s="351"/>
      <c r="D50" s="351"/>
      <c r="E50" s="351"/>
      <c r="F50" s="351"/>
      <c r="G50" s="351"/>
    </row>
    <row r="51" spans="1:7" s="302" customFormat="1">
      <c r="A51" s="351"/>
      <c r="B51" s="351"/>
      <c r="C51" s="351"/>
      <c r="D51" s="351"/>
      <c r="E51" s="351"/>
      <c r="F51" s="351"/>
      <c r="G51" s="351"/>
    </row>
    <row r="52" spans="1:7" s="302" customFormat="1">
      <c r="A52" s="351"/>
      <c r="B52" s="351"/>
      <c r="C52" s="351"/>
      <c r="D52" s="351"/>
      <c r="E52" s="351"/>
      <c r="F52" s="351"/>
      <c r="G52" s="351"/>
    </row>
    <row r="53" spans="1:7" s="302" customFormat="1">
      <c r="A53" s="351"/>
      <c r="B53" s="351"/>
      <c r="C53" s="351"/>
      <c r="D53" s="351"/>
      <c r="E53" s="351"/>
      <c r="F53" s="351"/>
      <c r="G53" s="351"/>
    </row>
    <row r="54" spans="1:7" s="302" customFormat="1">
      <c r="A54" s="351"/>
      <c r="B54" s="351"/>
      <c r="C54" s="351"/>
      <c r="D54" s="351"/>
      <c r="E54" s="351"/>
      <c r="F54" s="351"/>
      <c r="G54" s="351"/>
    </row>
    <row r="55" spans="1:7" s="302" customFormat="1">
      <c r="A55" s="351"/>
      <c r="B55" s="351"/>
      <c r="C55" s="351"/>
      <c r="D55" s="351"/>
      <c r="E55" s="351"/>
      <c r="F55" s="351"/>
      <c r="G55" s="351"/>
    </row>
    <row r="56" spans="1:7" s="302" customFormat="1">
      <c r="A56" s="351"/>
      <c r="B56" s="351"/>
      <c r="C56" s="351"/>
      <c r="D56" s="351"/>
      <c r="E56" s="351"/>
      <c r="F56" s="351"/>
      <c r="G56" s="351"/>
    </row>
    <row r="57" spans="1:7" s="302" customFormat="1">
      <c r="A57" s="351"/>
      <c r="B57" s="351"/>
      <c r="C57" s="351"/>
      <c r="D57" s="351"/>
      <c r="E57" s="351"/>
      <c r="F57" s="351"/>
      <c r="G57" s="351"/>
    </row>
    <row r="58" spans="1:7" s="302" customFormat="1">
      <c r="A58" s="351"/>
      <c r="B58" s="351"/>
      <c r="C58" s="351"/>
      <c r="D58" s="351"/>
      <c r="E58" s="351"/>
      <c r="F58" s="351"/>
      <c r="G58" s="351"/>
    </row>
    <row r="59" spans="1:7" s="302" customFormat="1">
      <c r="A59" s="351"/>
      <c r="B59" s="351"/>
      <c r="C59" s="351"/>
      <c r="D59" s="351"/>
      <c r="E59" s="351"/>
      <c r="F59" s="351"/>
      <c r="G59" s="351"/>
    </row>
    <row r="60" spans="1:7" s="302" customFormat="1">
      <c r="A60" s="351"/>
      <c r="B60" s="351"/>
      <c r="C60" s="351"/>
      <c r="D60" s="351"/>
      <c r="E60" s="351"/>
      <c r="F60" s="351"/>
      <c r="G60" s="351"/>
    </row>
    <row r="61" spans="1:7" s="302" customFormat="1">
      <c r="A61" s="351"/>
      <c r="B61" s="351"/>
      <c r="C61" s="351"/>
      <c r="D61" s="351"/>
      <c r="E61" s="351"/>
      <c r="F61" s="351"/>
      <c r="G61" s="351"/>
    </row>
    <row r="62" spans="1:7" s="302" customFormat="1">
      <c r="A62" s="342"/>
      <c r="B62" s="352" t="s">
        <v>2418</v>
      </c>
      <c r="C62" s="352"/>
      <c r="D62" s="352"/>
      <c r="E62" s="352"/>
      <c r="F62" s="352"/>
      <c r="G62" s="352"/>
    </row>
    <row r="63" spans="1:7" s="302" customFormat="1">
      <c r="A63" s="342"/>
      <c r="B63" s="353"/>
      <c r="C63" s="353"/>
      <c r="D63" s="353"/>
      <c r="E63" s="353"/>
      <c r="F63" s="353"/>
      <c r="G63" s="353"/>
    </row>
    <row r="64" spans="1:7" s="302" customFormat="1">
      <c r="A64" s="342"/>
      <c r="B64" s="352" t="s">
        <v>22</v>
      </c>
      <c r="C64" s="352"/>
      <c r="D64" s="352"/>
      <c r="E64" s="352"/>
      <c r="F64" s="352"/>
      <c r="G64" s="352"/>
    </row>
    <row r="65" spans="1:7" s="302" customFormat="1">
      <c r="A65" s="342"/>
      <c r="B65" s="353"/>
      <c r="C65" s="353"/>
      <c r="D65" s="353"/>
      <c r="E65" s="353"/>
      <c r="F65" s="353"/>
      <c r="G65" s="353"/>
    </row>
    <row r="66" spans="1:7" s="302" customFormat="1">
      <c r="A66" s="342"/>
      <c r="B66" s="352" t="s">
        <v>23</v>
      </c>
      <c r="C66" s="352"/>
      <c r="D66" s="352"/>
      <c r="E66" s="352"/>
      <c r="F66" s="352"/>
      <c r="G66" s="352"/>
    </row>
    <row r="67" spans="1:7" s="302" customFormat="1">
      <c r="A67" s="342"/>
      <c r="B67" s="352" t="s">
        <v>24</v>
      </c>
      <c r="C67" s="352"/>
      <c r="D67" s="352"/>
      <c r="E67" s="352"/>
      <c r="F67" s="352"/>
      <c r="G67" s="352"/>
    </row>
    <row r="68" spans="1:7" s="303" customFormat="1">
      <c r="A68" s="346"/>
      <c r="B68" s="346"/>
      <c r="E68" s="333"/>
    </row>
  </sheetData>
  <mergeCells count="13">
    <mergeCell ref="A1:G1"/>
    <mergeCell ref="A2:G2"/>
    <mergeCell ref="A5:A15"/>
    <mergeCell ref="B5:B15"/>
    <mergeCell ref="C5:C15"/>
    <mergeCell ref="B27:B29"/>
    <mergeCell ref="C27:C29"/>
    <mergeCell ref="A32:C32"/>
    <mergeCell ref="A33:C33"/>
    <mergeCell ref="A17:A25"/>
    <mergeCell ref="B17:B25"/>
    <mergeCell ref="C17:C25"/>
    <mergeCell ref="A27:A29"/>
  </mergeCells>
  <phoneticPr fontId="4" type="noConversion"/>
  <pageMargins left="0.7" right="0.7" top="0.75" bottom="0.75" header="0.3" footer="0.3"/>
  <pageSetup paperSize="9" scale="75" orientation="portrait" r:id="rId1"/>
</worksheet>
</file>

<file path=xl/worksheets/sheet26.xml><?xml version="1.0" encoding="utf-8"?>
<worksheet xmlns="http://schemas.openxmlformats.org/spreadsheetml/2006/main" xmlns:r="http://schemas.openxmlformats.org/officeDocument/2006/relationships">
  <dimension ref="A1:H75"/>
  <sheetViews>
    <sheetView topLeftCell="A34" zoomScale="90" zoomScaleNormal="90" workbookViewId="0">
      <selection activeCell="H40" sqref="H40"/>
    </sheetView>
  </sheetViews>
  <sheetFormatPr defaultRowHeight="16.5"/>
  <cols>
    <col min="2" max="2" width="35.28515625" customWidth="1"/>
    <col min="3" max="3" width="11.85546875" style="379" customWidth="1"/>
    <col min="5" max="5" width="40.42578125" style="812" customWidth="1"/>
    <col min="6" max="6" width="14.28515625" customWidth="1"/>
    <col min="8" max="8" width="13.5703125" customWidth="1"/>
  </cols>
  <sheetData>
    <row r="1" spans="1:8" ht="90.75" customHeight="1">
      <c r="A1" s="1161" t="s">
        <v>2152</v>
      </c>
      <c r="B1" s="1162"/>
      <c r="C1" s="1162"/>
      <c r="D1" s="1162"/>
      <c r="E1" s="1162"/>
      <c r="F1" s="1162"/>
      <c r="G1" s="1162"/>
      <c r="H1" s="1163"/>
    </row>
    <row r="2" spans="1:8" ht="48" customHeight="1">
      <c r="A2" s="634" t="s">
        <v>434</v>
      </c>
      <c r="B2" s="634" t="s">
        <v>1444</v>
      </c>
      <c r="C2" s="634" t="s">
        <v>1445</v>
      </c>
      <c r="D2" s="821"/>
      <c r="E2" s="634" t="s">
        <v>452</v>
      </c>
      <c r="F2" s="822" t="s">
        <v>1445</v>
      </c>
      <c r="G2" s="823" t="s">
        <v>399</v>
      </c>
      <c r="H2" s="822" t="s">
        <v>1473</v>
      </c>
    </row>
    <row r="3" spans="1:8" ht="113.25" customHeight="1">
      <c r="A3" s="1144">
        <v>1</v>
      </c>
      <c r="B3" s="1167" t="s">
        <v>2153</v>
      </c>
      <c r="C3" s="1309">
        <v>0.16</v>
      </c>
      <c r="D3" s="824">
        <v>1</v>
      </c>
      <c r="E3" s="804" t="s">
        <v>2154</v>
      </c>
      <c r="F3" s="798">
        <v>0.4</v>
      </c>
      <c r="G3" s="824"/>
      <c r="H3" s="798">
        <f>G3*F3</f>
        <v>0</v>
      </c>
    </row>
    <row r="4" spans="1:8" ht="194.25" customHeight="1">
      <c r="A4" s="1145"/>
      <c r="B4" s="1168"/>
      <c r="C4" s="1310"/>
      <c r="D4" s="824">
        <v>2</v>
      </c>
      <c r="E4" s="625" t="s">
        <v>2136</v>
      </c>
      <c r="F4" s="798">
        <v>0.6</v>
      </c>
      <c r="G4" s="824"/>
      <c r="H4" s="798">
        <f t="shared" ref="H4:H37" si="0">G4*F4</f>
        <v>0</v>
      </c>
    </row>
    <row r="5" spans="1:8" ht="18.75">
      <c r="A5" s="1146"/>
      <c r="B5" s="1169"/>
      <c r="C5" s="1311"/>
      <c r="D5" s="824"/>
      <c r="E5" s="371"/>
      <c r="F5" s="805">
        <f>SUM(F3:F4)</f>
        <v>1</v>
      </c>
      <c r="G5" s="825"/>
      <c r="H5" s="805">
        <f>SUM(H3:H4)*C3</f>
        <v>0</v>
      </c>
    </row>
    <row r="6" spans="1:8" ht="102.75" customHeight="1">
      <c r="A6" s="1144">
        <v>2</v>
      </c>
      <c r="B6" s="1167" t="s">
        <v>2155</v>
      </c>
      <c r="C6" s="1309">
        <v>0.04</v>
      </c>
      <c r="D6" s="824">
        <v>1</v>
      </c>
      <c r="E6" s="800" t="s">
        <v>2156</v>
      </c>
      <c r="F6" s="798">
        <v>0.23</v>
      </c>
      <c r="G6" s="824"/>
      <c r="H6" s="798">
        <f t="shared" si="0"/>
        <v>0</v>
      </c>
    </row>
    <row r="7" spans="1:8" ht="168" customHeight="1">
      <c r="A7" s="1145"/>
      <c r="B7" s="1168"/>
      <c r="C7" s="1310"/>
      <c r="D7" s="824">
        <v>2</v>
      </c>
      <c r="E7" s="826" t="s">
        <v>2157</v>
      </c>
      <c r="F7" s="798">
        <v>0.5</v>
      </c>
      <c r="G7" s="824"/>
      <c r="H7" s="798">
        <f t="shared" si="0"/>
        <v>0</v>
      </c>
    </row>
    <row r="8" spans="1:8" ht="57.75" customHeight="1">
      <c r="A8" s="1145"/>
      <c r="B8" s="1168"/>
      <c r="C8" s="1310"/>
      <c r="D8" s="824">
        <v>3</v>
      </c>
      <c r="E8" s="625" t="s">
        <v>2158</v>
      </c>
      <c r="F8" s="798">
        <v>0.27</v>
      </c>
      <c r="G8" s="824"/>
      <c r="H8" s="798">
        <f t="shared" si="0"/>
        <v>0</v>
      </c>
    </row>
    <row r="9" spans="1:8" ht="18.75">
      <c r="A9" s="1146"/>
      <c r="B9" s="1169"/>
      <c r="C9" s="1311"/>
      <c r="D9" s="824"/>
      <c r="E9" s="371"/>
      <c r="F9" s="805">
        <f>SUM(F6:F8)</f>
        <v>1</v>
      </c>
      <c r="G9" s="825"/>
      <c r="H9" s="805">
        <f>SUM(H6:H8)*C6</f>
        <v>0</v>
      </c>
    </row>
    <row r="10" spans="1:8" ht="356.25" customHeight="1">
      <c r="A10" s="1144">
        <v>3</v>
      </c>
      <c r="B10" s="1167" t="s">
        <v>2159</v>
      </c>
      <c r="C10" s="1309">
        <v>0.09</v>
      </c>
      <c r="D10" s="824">
        <v>1</v>
      </c>
      <c r="E10" s="826" t="s">
        <v>2160</v>
      </c>
      <c r="F10" s="798">
        <v>0.56999999999999995</v>
      </c>
      <c r="G10" s="824"/>
      <c r="H10" s="798">
        <f t="shared" si="0"/>
        <v>0</v>
      </c>
    </row>
    <row r="11" spans="1:8" ht="78.75" customHeight="1">
      <c r="A11" s="1145"/>
      <c r="B11" s="1168"/>
      <c r="C11" s="1310"/>
      <c r="D11" s="824">
        <v>2</v>
      </c>
      <c r="E11" s="818" t="s">
        <v>2161</v>
      </c>
      <c r="F11" s="798">
        <v>0.43</v>
      </c>
      <c r="G11" s="824"/>
      <c r="H11" s="798">
        <f t="shared" si="0"/>
        <v>0</v>
      </c>
    </row>
    <row r="12" spans="1:8" ht="18.75">
      <c r="A12" s="1146"/>
      <c r="B12" s="1169"/>
      <c r="C12" s="1311"/>
      <c r="D12" s="824"/>
      <c r="E12" s="827"/>
      <c r="F12" s="805">
        <f>SUM(F10:F11)</f>
        <v>1</v>
      </c>
      <c r="G12" s="825"/>
      <c r="H12" s="805">
        <f>SUM(H10:H11)*C10</f>
        <v>0</v>
      </c>
    </row>
    <row r="13" spans="1:8" ht="78" customHeight="1">
      <c r="A13" s="1144">
        <v>4</v>
      </c>
      <c r="B13" s="1167" t="s">
        <v>2162</v>
      </c>
      <c r="C13" s="1309">
        <v>0.04</v>
      </c>
      <c r="D13" s="824">
        <v>1</v>
      </c>
      <c r="E13" s="826" t="s">
        <v>2163</v>
      </c>
      <c r="F13" s="798">
        <v>0.13</v>
      </c>
      <c r="G13" s="824"/>
      <c r="H13" s="798">
        <f t="shared" si="0"/>
        <v>0</v>
      </c>
    </row>
    <row r="14" spans="1:8" ht="92.25" customHeight="1">
      <c r="A14" s="1145"/>
      <c r="B14" s="1168"/>
      <c r="C14" s="1310"/>
      <c r="D14" s="824">
        <v>2</v>
      </c>
      <c r="E14" s="808" t="s">
        <v>2164</v>
      </c>
      <c r="F14" s="798">
        <v>0.38</v>
      </c>
      <c r="G14" s="824"/>
      <c r="H14" s="798">
        <f t="shared" si="0"/>
        <v>0</v>
      </c>
    </row>
    <row r="15" spans="1:8" ht="114" customHeight="1">
      <c r="A15" s="1145"/>
      <c r="B15" s="1168"/>
      <c r="C15" s="1310"/>
      <c r="D15" s="824">
        <v>3</v>
      </c>
      <c r="E15" s="808" t="s">
        <v>2165</v>
      </c>
      <c r="F15" s="798">
        <v>0.32</v>
      </c>
      <c r="G15" s="824"/>
      <c r="H15" s="798">
        <f t="shared" si="0"/>
        <v>0</v>
      </c>
    </row>
    <row r="16" spans="1:8" ht="60" customHeight="1">
      <c r="A16" s="1145"/>
      <c r="B16" s="1168"/>
      <c r="C16" s="1310"/>
      <c r="D16" s="824">
        <v>4</v>
      </c>
      <c r="E16" s="828" t="s">
        <v>2166</v>
      </c>
      <c r="F16" s="798">
        <v>0.17</v>
      </c>
      <c r="G16" s="824"/>
      <c r="H16" s="798">
        <f t="shared" si="0"/>
        <v>0</v>
      </c>
    </row>
    <row r="17" spans="1:8" ht="18.75">
      <c r="A17" s="1146"/>
      <c r="B17" s="1169"/>
      <c r="C17" s="1311"/>
      <c r="D17" s="824"/>
      <c r="E17" s="371"/>
      <c r="F17" s="805">
        <f>SUM(F13:F16)</f>
        <v>1</v>
      </c>
      <c r="G17" s="825"/>
      <c r="H17" s="805">
        <f>SUM(H13:H16)*C13</f>
        <v>0</v>
      </c>
    </row>
    <row r="18" spans="1:8" ht="115.5" customHeight="1">
      <c r="A18" s="1144">
        <v>5</v>
      </c>
      <c r="B18" s="1167" t="s">
        <v>2167</v>
      </c>
      <c r="C18" s="1309">
        <v>0.14000000000000001</v>
      </c>
      <c r="D18" s="824">
        <v>1</v>
      </c>
      <c r="E18" s="826" t="s">
        <v>2168</v>
      </c>
      <c r="F18" s="807">
        <v>0.5</v>
      </c>
      <c r="G18" s="824"/>
      <c r="H18" s="807">
        <f t="shared" si="0"/>
        <v>0</v>
      </c>
    </row>
    <row r="19" spans="1:8" ht="82.5" customHeight="1">
      <c r="A19" s="1145"/>
      <c r="B19" s="1168"/>
      <c r="C19" s="1310"/>
      <c r="D19" s="824">
        <v>2</v>
      </c>
      <c r="E19" s="829" t="s">
        <v>2169</v>
      </c>
      <c r="F19" s="807">
        <v>0.5</v>
      </c>
      <c r="G19" s="824"/>
      <c r="H19" s="807">
        <f t="shared" si="0"/>
        <v>0</v>
      </c>
    </row>
    <row r="20" spans="1:8" ht="18.75">
      <c r="A20" s="1146"/>
      <c r="B20" s="1169"/>
      <c r="C20" s="1311"/>
      <c r="D20" s="824"/>
      <c r="E20" s="371"/>
      <c r="F20" s="805">
        <f>SUM(F18:F19)</f>
        <v>1</v>
      </c>
      <c r="G20" s="825"/>
      <c r="H20" s="805">
        <f>SUM(H18:H19)*C18</f>
        <v>0</v>
      </c>
    </row>
    <row r="21" spans="1:8" ht="113.25" customHeight="1">
      <c r="A21" s="1144">
        <v>6</v>
      </c>
      <c r="B21" s="1167" t="s">
        <v>2170</v>
      </c>
      <c r="C21" s="1309">
        <v>0.17</v>
      </c>
      <c r="D21" s="824">
        <v>1</v>
      </c>
      <c r="E21" s="826" t="s">
        <v>2171</v>
      </c>
      <c r="F21" s="798">
        <v>0.22</v>
      </c>
      <c r="G21" s="824"/>
      <c r="H21" s="798">
        <f t="shared" si="0"/>
        <v>0</v>
      </c>
    </row>
    <row r="22" spans="1:8" ht="40.5" customHeight="1">
      <c r="A22" s="1145"/>
      <c r="B22" s="1168"/>
      <c r="C22" s="1310"/>
      <c r="D22" s="824">
        <v>2</v>
      </c>
      <c r="E22" s="625" t="s">
        <v>2172</v>
      </c>
      <c r="F22" s="798">
        <v>0.24</v>
      </c>
      <c r="G22" s="824"/>
      <c r="H22" s="798">
        <f t="shared" si="0"/>
        <v>0</v>
      </c>
    </row>
    <row r="23" spans="1:8" ht="55.5" customHeight="1">
      <c r="A23" s="1145"/>
      <c r="B23" s="1168"/>
      <c r="C23" s="1310"/>
      <c r="D23" s="824">
        <v>3</v>
      </c>
      <c r="E23" s="625" t="s">
        <v>2173</v>
      </c>
      <c r="F23" s="798">
        <v>0.26</v>
      </c>
      <c r="G23" s="824"/>
      <c r="H23" s="798">
        <f t="shared" si="0"/>
        <v>0</v>
      </c>
    </row>
    <row r="24" spans="1:8" ht="43.5" customHeight="1">
      <c r="A24" s="1145"/>
      <c r="B24" s="1168"/>
      <c r="C24" s="1310"/>
      <c r="D24" s="824">
        <v>4</v>
      </c>
      <c r="E24" s="829" t="s">
        <v>2174</v>
      </c>
      <c r="F24" s="798">
        <v>0.28000000000000003</v>
      </c>
      <c r="G24" s="824"/>
      <c r="H24" s="798">
        <f t="shared" si="0"/>
        <v>0</v>
      </c>
    </row>
    <row r="25" spans="1:8" ht="18.75">
      <c r="A25" s="1146"/>
      <c r="B25" s="1169"/>
      <c r="C25" s="1311"/>
      <c r="D25" s="824"/>
      <c r="E25" s="371"/>
      <c r="F25" s="805">
        <f>SUM(F21:F24)</f>
        <v>1</v>
      </c>
      <c r="G25" s="825"/>
      <c r="H25" s="805">
        <f>SUM(H21:H24)*C21</f>
        <v>0</v>
      </c>
    </row>
    <row r="26" spans="1:8" ht="117" customHeight="1">
      <c r="A26" s="1144">
        <v>7</v>
      </c>
      <c r="B26" s="1167" t="s">
        <v>1683</v>
      </c>
      <c r="C26" s="1309">
        <v>0.12</v>
      </c>
      <c r="D26" s="824">
        <v>1</v>
      </c>
      <c r="E26" s="826" t="s">
        <v>1684</v>
      </c>
      <c r="F26" s="798">
        <v>0.45</v>
      </c>
      <c r="G26" s="824"/>
      <c r="H26" s="798">
        <f t="shared" si="0"/>
        <v>0</v>
      </c>
    </row>
    <row r="27" spans="1:8" ht="93.75" customHeight="1">
      <c r="A27" s="1145"/>
      <c r="B27" s="1141"/>
      <c r="C27" s="1310"/>
      <c r="D27" s="824">
        <v>2</v>
      </c>
      <c r="E27" s="625" t="s">
        <v>1685</v>
      </c>
      <c r="F27" s="798">
        <v>0.3</v>
      </c>
      <c r="G27" s="824"/>
      <c r="H27" s="798">
        <f t="shared" si="0"/>
        <v>0</v>
      </c>
    </row>
    <row r="28" spans="1:8" ht="75" customHeight="1">
      <c r="A28" s="1145"/>
      <c r="B28" s="1141"/>
      <c r="C28" s="1310"/>
      <c r="D28" s="824">
        <v>3</v>
      </c>
      <c r="E28" s="829" t="s">
        <v>1686</v>
      </c>
      <c r="F28" s="798">
        <v>0.25</v>
      </c>
      <c r="G28" s="824"/>
      <c r="H28" s="798">
        <f t="shared" si="0"/>
        <v>0</v>
      </c>
    </row>
    <row r="29" spans="1:8" ht="18.75">
      <c r="A29" s="1146"/>
      <c r="B29" s="1142"/>
      <c r="C29" s="1311"/>
      <c r="D29" s="824"/>
      <c r="E29" s="371"/>
      <c r="F29" s="805">
        <f>SUM(F26:F28)</f>
        <v>1</v>
      </c>
      <c r="G29" s="825"/>
      <c r="H29" s="805">
        <f>SUM(H26:H28)*C26</f>
        <v>0</v>
      </c>
    </row>
    <row r="30" spans="1:8" ht="57.75" customHeight="1">
      <c r="A30" s="1144">
        <v>8</v>
      </c>
      <c r="B30" s="1167" t="s">
        <v>1687</v>
      </c>
      <c r="C30" s="1309">
        <v>0.12</v>
      </c>
      <c r="D30" s="824">
        <v>1</v>
      </c>
      <c r="E30" s="826" t="s">
        <v>1688</v>
      </c>
      <c r="F30" s="798">
        <v>0.27</v>
      </c>
      <c r="G30" s="824"/>
      <c r="H30" s="798">
        <f t="shared" si="0"/>
        <v>0</v>
      </c>
    </row>
    <row r="31" spans="1:8" ht="57.75" customHeight="1">
      <c r="A31" s="1145"/>
      <c r="B31" s="1141"/>
      <c r="C31" s="1310"/>
      <c r="D31" s="824">
        <v>2</v>
      </c>
      <c r="E31" s="830" t="s">
        <v>1689</v>
      </c>
      <c r="F31" s="798">
        <v>0.32</v>
      </c>
      <c r="G31" s="824"/>
      <c r="H31" s="798">
        <f t="shared" si="0"/>
        <v>0</v>
      </c>
    </row>
    <row r="32" spans="1:8" ht="75.75" customHeight="1">
      <c r="A32" s="1145"/>
      <c r="B32" s="1141"/>
      <c r="C32" s="1310"/>
      <c r="D32" s="824">
        <v>3</v>
      </c>
      <c r="E32" s="831" t="s">
        <v>1690</v>
      </c>
      <c r="F32" s="798">
        <v>0.41</v>
      </c>
      <c r="G32" s="824"/>
      <c r="H32" s="798">
        <f t="shared" si="0"/>
        <v>0</v>
      </c>
    </row>
    <row r="33" spans="1:8" ht="18.75">
      <c r="A33" s="1146"/>
      <c r="B33" s="1142"/>
      <c r="C33" s="1311"/>
      <c r="D33" s="819"/>
      <c r="E33" s="832"/>
      <c r="F33" s="811">
        <f>SUM(F30:F32)</f>
        <v>1</v>
      </c>
      <c r="G33" s="811"/>
      <c r="H33" s="811">
        <f>SUM(H30:H32)*C30</f>
        <v>0</v>
      </c>
    </row>
    <row r="34" spans="1:8" ht="78" customHeight="1">
      <c r="A34" s="1144">
        <v>9</v>
      </c>
      <c r="B34" s="1140" t="s">
        <v>1691</v>
      </c>
      <c r="C34" s="1309">
        <v>0.12</v>
      </c>
      <c r="D34" s="824">
        <v>1</v>
      </c>
      <c r="E34" s="826" t="s">
        <v>1692</v>
      </c>
      <c r="F34" s="798">
        <v>0.3</v>
      </c>
      <c r="G34" s="824"/>
      <c r="H34" s="798">
        <f t="shared" si="0"/>
        <v>0</v>
      </c>
    </row>
    <row r="35" spans="1:8" ht="96" customHeight="1">
      <c r="A35" s="1145"/>
      <c r="B35" s="1141"/>
      <c r="C35" s="1310"/>
      <c r="D35" s="824">
        <v>2</v>
      </c>
      <c r="E35" s="625" t="s">
        <v>1693</v>
      </c>
      <c r="F35" s="798">
        <v>0.26</v>
      </c>
      <c r="G35" s="824"/>
      <c r="H35" s="798">
        <f t="shared" si="0"/>
        <v>0</v>
      </c>
    </row>
    <row r="36" spans="1:8" ht="78.75" customHeight="1">
      <c r="A36" s="1145"/>
      <c r="B36" s="1141"/>
      <c r="C36" s="1310"/>
      <c r="D36" s="824">
        <v>3</v>
      </c>
      <c r="E36" s="625" t="s">
        <v>1694</v>
      </c>
      <c r="F36" s="798">
        <v>0.26</v>
      </c>
      <c r="G36" s="824"/>
      <c r="H36" s="798">
        <f t="shared" si="0"/>
        <v>0</v>
      </c>
    </row>
    <row r="37" spans="1:8" ht="81.75" customHeight="1">
      <c r="A37" s="1145"/>
      <c r="B37" s="1141"/>
      <c r="C37" s="1310"/>
      <c r="D37" s="833">
        <v>4</v>
      </c>
      <c r="E37" s="834" t="s">
        <v>1695</v>
      </c>
      <c r="F37" s="798">
        <v>0.18</v>
      </c>
      <c r="G37" s="824"/>
      <c r="H37" s="798">
        <f t="shared" si="0"/>
        <v>0</v>
      </c>
    </row>
    <row r="38" spans="1:8" ht="18.75">
      <c r="A38" s="1146"/>
      <c r="B38" s="1142"/>
      <c r="C38" s="1311"/>
      <c r="D38" s="807"/>
      <c r="E38" s="807"/>
      <c r="F38" s="805">
        <f>SUM(F34:F37)</f>
        <v>1</v>
      </c>
      <c r="G38" s="805"/>
      <c r="H38" s="805">
        <f>SUM(H34:H37)*C34</f>
        <v>0</v>
      </c>
    </row>
    <row r="39" spans="1:8" ht="18.75">
      <c r="A39" s="1173" t="s">
        <v>443</v>
      </c>
      <c r="B39" s="1173"/>
      <c r="C39" s="1173"/>
      <c r="D39" s="1173"/>
      <c r="E39" s="1173"/>
      <c r="F39" s="1173"/>
      <c r="G39" s="810"/>
      <c r="H39" s="811">
        <f>H5+H9+H12+H17+H20+H25+H29+H33+H38</f>
        <v>0</v>
      </c>
    </row>
    <row r="40" spans="1:8" ht="18.75">
      <c r="A40" s="1173" t="s">
        <v>444</v>
      </c>
      <c r="B40" s="1173"/>
      <c r="C40" s="1173"/>
      <c r="D40" s="1173"/>
      <c r="E40" s="1173"/>
      <c r="F40" s="1173"/>
      <c r="G40" s="810"/>
      <c r="H40" s="811" t="str">
        <f>IF(H39&lt;=0.65,"низький",IF(H39&lt;=0.75,"середній",IF(H39&lt;=0.95,"достатній","високий")))</f>
        <v>низький</v>
      </c>
    </row>
    <row r="41" spans="1:8" s="302" customFormat="1" ht="15.75">
      <c r="A41" s="288" t="s">
        <v>182</v>
      </c>
      <c r="B41" s="289"/>
      <c r="C41" s="342"/>
      <c r="E41" s="343"/>
      <c r="F41" s="344"/>
      <c r="G41" s="112"/>
    </row>
    <row r="42" spans="1:8" s="302" customFormat="1" ht="17.25">
      <c r="A42" s="345" t="s">
        <v>589</v>
      </c>
      <c r="B42" s="346"/>
      <c r="C42" s="347"/>
      <c r="D42" s="303"/>
      <c r="E42" s="348"/>
      <c r="F42" s="349"/>
      <c r="G42" s="112"/>
    </row>
    <row r="43" spans="1:8" s="302" customFormat="1" ht="17.25">
      <c r="A43" s="345" t="s">
        <v>590</v>
      </c>
      <c r="B43" s="346"/>
      <c r="C43" s="347"/>
      <c r="D43" s="303"/>
      <c r="E43" s="348"/>
      <c r="F43" s="349"/>
      <c r="G43" s="112"/>
    </row>
    <row r="44" spans="1:8" s="302" customFormat="1" ht="17.25">
      <c r="A44" s="345" t="s">
        <v>591</v>
      </c>
      <c r="B44" s="346"/>
      <c r="C44" s="347"/>
      <c r="D44" s="303"/>
      <c r="E44" s="348"/>
      <c r="F44" s="349"/>
      <c r="G44" s="112"/>
    </row>
    <row r="45" spans="1:8" s="302" customFormat="1" ht="17.25">
      <c r="A45" s="345" t="s">
        <v>592</v>
      </c>
      <c r="B45" s="346"/>
      <c r="C45" s="347"/>
      <c r="D45" s="303"/>
      <c r="E45" s="348"/>
      <c r="F45" s="349"/>
      <c r="G45" s="112"/>
    </row>
    <row r="46" spans="1:8" s="302" customFormat="1" ht="17.25">
      <c r="A46" s="345" t="s">
        <v>593</v>
      </c>
      <c r="B46" s="346"/>
      <c r="C46" s="347"/>
      <c r="D46" s="303"/>
      <c r="E46" s="348"/>
      <c r="F46" s="349"/>
      <c r="G46" s="112"/>
    </row>
    <row r="47" spans="1:8" s="302" customFormat="1" ht="17.25">
      <c r="A47" s="345" t="s">
        <v>594</v>
      </c>
      <c r="B47" s="346"/>
      <c r="C47" s="347"/>
      <c r="D47" s="303"/>
      <c r="E47" s="348"/>
      <c r="F47" s="349"/>
      <c r="G47" s="112"/>
    </row>
    <row r="48" spans="1:8" s="302" customFormat="1" ht="17.25">
      <c r="A48" s="345" t="s">
        <v>595</v>
      </c>
      <c r="B48" s="346"/>
      <c r="C48" s="347"/>
      <c r="D48" s="303"/>
      <c r="E48" s="348"/>
      <c r="F48" s="349"/>
      <c r="G48" s="112"/>
    </row>
    <row r="49" spans="1:7" s="302" customFormat="1" ht="15.75">
      <c r="A49" s="350" t="s">
        <v>596</v>
      </c>
      <c r="B49" s="346"/>
      <c r="C49" s="347"/>
      <c r="D49" s="303"/>
      <c r="E49" s="348"/>
      <c r="F49" s="349"/>
      <c r="G49" s="112"/>
    </row>
    <row r="50" spans="1:7" s="302" customFormat="1" ht="15.75">
      <c r="A50" s="345" t="s">
        <v>597</v>
      </c>
      <c r="B50" s="346"/>
      <c r="C50" s="347"/>
      <c r="D50" s="303"/>
      <c r="E50" s="348"/>
      <c r="F50" s="349"/>
      <c r="G50" s="112"/>
    </row>
    <row r="51" spans="1:7" s="302" customFormat="1" ht="15.75">
      <c r="A51" s="288" t="s">
        <v>792</v>
      </c>
      <c r="B51" s="346"/>
      <c r="C51" s="347"/>
      <c r="D51" s="303"/>
      <c r="E51" s="348"/>
      <c r="F51" s="349"/>
      <c r="G51" s="112"/>
    </row>
    <row r="52" spans="1:7" s="302" customFormat="1" ht="15.75">
      <c r="A52" s="288" t="s">
        <v>793</v>
      </c>
      <c r="B52" s="346"/>
      <c r="C52" s="347"/>
      <c r="D52" s="303"/>
      <c r="E52" s="348"/>
      <c r="F52" s="349"/>
      <c r="G52" s="112"/>
    </row>
    <row r="53" spans="1:7" s="302" customFormat="1" ht="15.75">
      <c r="A53" s="288" t="s">
        <v>794</v>
      </c>
      <c r="B53" s="346"/>
      <c r="C53" s="347"/>
      <c r="D53" s="303"/>
      <c r="E53" s="348"/>
      <c r="F53" s="349"/>
      <c r="G53" s="112"/>
    </row>
    <row r="54" spans="1:7" s="302" customFormat="1" ht="15.75">
      <c r="A54" s="342"/>
      <c r="B54" s="342" t="s">
        <v>20</v>
      </c>
      <c r="C54" s="342"/>
      <c r="D54" s="342"/>
      <c r="E54" s="342"/>
      <c r="F54" s="342"/>
      <c r="G54" s="342"/>
    </row>
    <row r="55" spans="1:7" s="302" customFormat="1" ht="15.75">
      <c r="A55" s="351"/>
      <c r="B55" s="351"/>
      <c r="C55" s="351"/>
      <c r="D55" s="351"/>
      <c r="E55" s="351"/>
      <c r="F55" s="351"/>
      <c r="G55" s="351"/>
    </row>
    <row r="56" spans="1:7" s="302" customFormat="1" ht="15.75">
      <c r="A56" s="351"/>
      <c r="B56" s="351"/>
      <c r="C56" s="351"/>
      <c r="D56" s="351"/>
      <c r="E56" s="351"/>
      <c r="F56" s="351"/>
      <c r="G56" s="351"/>
    </row>
    <row r="57" spans="1:7" s="302" customFormat="1" ht="15.75">
      <c r="A57" s="351"/>
      <c r="B57" s="351"/>
      <c r="C57" s="351"/>
      <c r="D57" s="351"/>
      <c r="E57" s="351"/>
      <c r="F57" s="351"/>
      <c r="G57" s="351"/>
    </row>
    <row r="58" spans="1:7" s="302" customFormat="1" ht="15.75">
      <c r="A58" s="351"/>
      <c r="B58" s="351"/>
      <c r="C58" s="351"/>
      <c r="D58" s="351"/>
      <c r="E58" s="351"/>
      <c r="F58" s="351"/>
      <c r="G58" s="351"/>
    </row>
    <row r="59" spans="1:7" s="302" customFormat="1" ht="15.75">
      <c r="A59" s="351"/>
      <c r="B59" s="351"/>
      <c r="C59" s="351"/>
      <c r="D59" s="351"/>
      <c r="E59" s="351"/>
      <c r="F59" s="351"/>
      <c r="G59" s="351"/>
    </row>
    <row r="60" spans="1:7" s="302" customFormat="1" ht="15.75">
      <c r="A60" s="351"/>
      <c r="B60" s="351"/>
      <c r="C60" s="351"/>
      <c r="D60" s="351"/>
      <c r="E60" s="351"/>
      <c r="F60" s="351"/>
      <c r="G60" s="351"/>
    </row>
    <row r="61" spans="1:7" s="302" customFormat="1" ht="15.75">
      <c r="A61" s="351"/>
      <c r="B61" s="351"/>
      <c r="C61" s="351"/>
      <c r="D61" s="351"/>
      <c r="E61" s="351"/>
      <c r="F61" s="351"/>
      <c r="G61" s="351"/>
    </row>
    <row r="62" spans="1:7" s="302" customFormat="1" ht="15.75">
      <c r="A62" s="351"/>
      <c r="B62" s="351"/>
      <c r="C62" s="351"/>
      <c r="D62" s="351"/>
      <c r="E62" s="351"/>
      <c r="F62" s="351"/>
      <c r="G62" s="351"/>
    </row>
    <row r="63" spans="1:7" s="302" customFormat="1" ht="15.75">
      <c r="A63" s="351"/>
      <c r="B63" s="351"/>
      <c r="C63" s="351"/>
      <c r="D63" s="351"/>
      <c r="E63" s="351"/>
      <c r="F63" s="351"/>
      <c r="G63" s="351"/>
    </row>
    <row r="64" spans="1:7" s="302" customFormat="1" ht="15.75">
      <c r="A64" s="351"/>
      <c r="B64" s="351"/>
      <c r="C64" s="351"/>
      <c r="D64" s="351"/>
      <c r="E64" s="351"/>
      <c r="F64" s="351"/>
      <c r="G64" s="351"/>
    </row>
    <row r="65" spans="1:7" s="302" customFormat="1" ht="15.75">
      <c r="A65" s="351"/>
      <c r="B65" s="351"/>
      <c r="C65" s="351"/>
      <c r="D65" s="351"/>
      <c r="E65" s="351"/>
      <c r="F65" s="351"/>
      <c r="G65" s="351"/>
    </row>
    <row r="66" spans="1:7" s="302" customFormat="1" ht="15.75">
      <c r="A66" s="351"/>
      <c r="B66" s="351"/>
      <c r="C66" s="351"/>
      <c r="D66" s="351"/>
      <c r="E66" s="351"/>
      <c r="F66" s="351"/>
      <c r="G66" s="351"/>
    </row>
    <row r="67" spans="1:7" s="302" customFormat="1" ht="15.75">
      <c r="A67" s="351"/>
      <c r="B67" s="351"/>
      <c r="C67" s="351"/>
      <c r="D67" s="351"/>
      <c r="E67" s="351"/>
      <c r="F67" s="351"/>
      <c r="G67" s="351"/>
    </row>
    <row r="68" spans="1:7" s="302" customFormat="1" ht="15.75">
      <c r="A68" s="351"/>
      <c r="B68" s="351"/>
      <c r="C68" s="351"/>
      <c r="D68" s="351"/>
      <c r="E68" s="351"/>
      <c r="F68" s="351"/>
      <c r="G68" s="351"/>
    </row>
    <row r="69" spans="1:7" s="302" customFormat="1" ht="15.75">
      <c r="A69" s="342"/>
      <c r="B69" s="352" t="s">
        <v>2418</v>
      </c>
      <c r="C69" s="352"/>
      <c r="D69" s="352"/>
      <c r="E69" s="352"/>
      <c r="F69" s="352"/>
      <c r="G69" s="352"/>
    </row>
    <row r="70" spans="1:7" s="302" customFormat="1" ht="15.75">
      <c r="A70" s="342"/>
      <c r="B70" s="353"/>
      <c r="C70" s="353"/>
      <c r="D70" s="353"/>
      <c r="E70" s="353"/>
      <c r="F70" s="353"/>
      <c r="G70" s="353"/>
    </row>
    <row r="71" spans="1:7" s="302" customFormat="1" ht="15.75">
      <c r="A71" s="342"/>
      <c r="B71" s="352" t="s">
        <v>22</v>
      </c>
      <c r="C71" s="352"/>
      <c r="D71" s="352"/>
      <c r="E71" s="352"/>
      <c r="F71" s="352"/>
      <c r="G71" s="352"/>
    </row>
    <row r="72" spans="1:7" s="302" customFormat="1" ht="15.75">
      <c r="A72" s="342"/>
      <c r="B72" s="353"/>
      <c r="C72" s="353"/>
      <c r="D72" s="353"/>
      <c r="E72" s="353"/>
      <c r="F72" s="353"/>
      <c r="G72" s="353"/>
    </row>
    <row r="73" spans="1:7" s="302" customFormat="1" ht="15.75">
      <c r="A73" s="342"/>
      <c r="B73" s="352" t="s">
        <v>23</v>
      </c>
      <c r="C73" s="352"/>
      <c r="D73" s="352"/>
      <c r="E73" s="352"/>
      <c r="F73" s="352"/>
      <c r="G73" s="352"/>
    </row>
    <row r="74" spans="1:7" s="302" customFormat="1" ht="15.75">
      <c r="A74" s="342"/>
      <c r="B74" s="352" t="s">
        <v>24</v>
      </c>
      <c r="C74" s="352"/>
      <c r="D74" s="352"/>
      <c r="E74" s="352"/>
      <c r="F74" s="352"/>
      <c r="G74" s="352"/>
    </row>
    <row r="75" spans="1:7" s="303" customFormat="1" ht="15.75">
      <c r="A75" s="346"/>
      <c r="B75" s="346"/>
      <c r="E75" s="333"/>
    </row>
  </sheetData>
  <mergeCells count="30">
    <mergeCell ref="A6:A9"/>
    <mergeCell ref="B6:B9"/>
    <mergeCell ref="C6:C9"/>
    <mergeCell ref="A1:H1"/>
    <mergeCell ref="A3:A5"/>
    <mergeCell ref="B3:B5"/>
    <mergeCell ref="C3:C5"/>
    <mergeCell ref="A10:A12"/>
    <mergeCell ref="B10:B12"/>
    <mergeCell ref="C10:C12"/>
    <mergeCell ref="A13:A17"/>
    <mergeCell ref="B13:B17"/>
    <mergeCell ref="C13:C17"/>
    <mergeCell ref="A18:A20"/>
    <mergeCell ref="B18:B20"/>
    <mergeCell ref="C18:C20"/>
    <mergeCell ref="A21:A25"/>
    <mergeCell ref="B21:B25"/>
    <mergeCell ref="C21:C25"/>
    <mergeCell ref="A39:F39"/>
    <mergeCell ref="A40:F40"/>
    <mergeCell ref="A26:A29"/>
    <mergeCell ref="B26:B29"/>
    <mergeCell ref="C26:C29"/>
    <mergeCell ref="A30:A33"/>
    <mergeCell ref="B30:B33"/>
    <mergeCell ref="C30:C33"/>
    <mergeCell ref="A34:A38"/>
    <mergeCell ref="B34:B38"/>
    <mergeCell ref="C34:C38"/>
  </mergeCells>
  <phoneticPr fontId="4" type="noConversion"/>
  <pageMargins left="0.7" right="0.7" top="0.75" bottom="0.75" header="0.3" footer="0.3"/>
  <pageSetup paperSize="9" scale="60" orientation="portrait" r:id="rId1"/>
</worksheet>
</file>

<file path=xl/worksheets/sheet27.xml><?xml version="1.0" encoding="utf-8"?>
<worksheet xmlns="http://schemas.openxmlformats.org/spreadsheetml/2006/main" xmlns:r="http://schemas.openxmlformats.org/officeDocument/2006/relationships">
  <dimension ref="A1:J111"/>
  <sheetViews>
    <sheetView workbookViewId="0">
      <selection activeCell="G76" sqref="G76"/>
    </sheetView>
  </sheetViews>
  <sheetFormatPr defaultRowHeight="15.75"/>
  <cols>
    <col min="1" max="1" width="6.140625" style="273" customWidth="1"/>
    <col min="2" max="2" width="20.5703125" style="274" customWidth="1"/>
    <col min="3" max="3" width="11.42578125" style="275" customWidth="1"/>
    <col min="4" max="4" width="39.42578125" style="8" customWidth="1"/>
    <col min="5" max="5" width="12.28515625" style="276" customWidth="1"/>
    <col min="6" max="6" width="12.42578125" style="765" customWidth="1"/>
    <col min="7" max="7" width="13.140625" style="275" customWidth="1"/>
    <col min="8" max="16384" width="9.140625" style="273"/>
  </cols>
  <sheetData>
    <row r="1" spans="1:7" ht="15.75" customHeight="1">
      <c r="A1" s="1186" t="s">
        <v>446</v>
      </c>
      <c r="B1" s="1186"/>
      <c r="C1" s="1186"/>
      <c r="D1" s="1186"/>
      <c r="E1" s="1186"/>
      <c r="F1" s="1186"/>
      <c r="G1" s="1186"/>
    </row>
    <row r="2" spans="1:7" ht="76.5" customHeight="1">
      <c r="A2" s="1186" t="s">
        <v>1638</v>
      </c>
      <c r="B2" s="1186"/>
      <c r="C2" s="1186"/>
      <c r="D2" s="1186"/>
      <c r="E2" s="1186"/>
      <c r="F2" s="1186"/>
      <c r="G2" s="1186"/>
    </row>
    <row r="4" spans="1:7" ht="47.25" customHeight="1">
      <c r="A4" s="5" t="s">
        <v>434</v>
      </c>
      <c r="B4" s="766" t="s">
        <v>338</v>
      </c>
      <c r="C4" s="5" t="s">
        <v>771</v>
      </c>
      <c r="D4" s="5" t="s">
        <v>333</v>
      </c>
      <c r="E4" s="5" t="s">
        <v>337</v>
      </c>
      <c r="F4" s="420" t="s">
        <v>770</v>
      </c>
      <c r="G4" s="5" t="s">
        <v>82</v>
      </c>
    </row>
    <row r="5" spans="1:7" ht="31.5">
      <c r="A5" s="1283">
        <v>1</v>
      </c>
      <c r="B5" s="1307" t="s">
        <v>64</v>
      </c>
      <c r="C5" s="1282">
        <f>7/55</f>
        <v>0.12727272727272726</v>
      </c>
      <c r="D5" s="277" t="s">
        <v>721</v>
      </c>
      <c r="E5" s="767">
        <f>9/55</f>
        <v>0.16363636363636364</v>
      </c>
      <c r="F5" s="733"/>
      <c r="G5" s="768">
        <f t="shared" ref="G5:G14" si="0">E5*F5</f>
        <v>0</v>
      </c>
    </row>
    <row r="6" spans="1:7" ht="48.75" customHeight="1">
      <c r="A6" s="1283"/>
      <c r="B6" s="1307"/>
      <c r="C6" s="1282"/>
      <c r="D6" s="86" t="s">
        <v>129</v>
      </c>
      <c r="E6" s="767">
        <f>7/55</f>
        <v>0.12727272727272726</v>
      </c>
      <c r="F6" s="733"/>
      <c r="G6" s="768">
        <f t="shared" si="0"/>
        <v>0</v>
      </c>
    </row>
    <row r="7" spans="1:7" ht="35.25" customHeight="1">
      <c r="A7" s="1283"/>
      <c r="B7" s="1307"/>
      <c r="C7" s="1282"/>
      <c r="D7" s="277" t="s">
        <v>722</v>
      </c>
      <c r="E7" s="767">
        <f>8/55</f>
        <v>0.14545454545454545</v>
      </c>
      <c r="F7" s="733"/>
      <c r="G7" s="768">
        <f t="shared" si="0"/>
        <v>0</v>
      </c>
    </row>
    <row r="8" spans="1:7" ht="32.25" customHeight="1">
      <c r="A8" s="1283"/>
      <c r="B8" s="1307"/>
      <c r="C8" s="1282"/>
      <c r="D8" s="2" t="s">
        <v>130</v>
      </c>
      <c r="E8" s="767">
        <f>7/55</f>
        <v>0.12727272727272726</v>
      </c>
      <c r="F8" s="733"/>
      <c r="G8" s="768">
        <f t="shared" si="0"/>
        <v>0</v>
      </c>
    </row>
    <row r="9" spans="1:7" ht="34.5" customHeight="1">
      <c r="A9" s="1283"/>
      <c r="B9" s="1307"/>
      <c r="C9" s="1282"/>
      <c r="D9" s="2" t="s">
        <v>131</v>
      </c>
      <c r="E9" s="767">
        <f>7/55</f>
        <v>0.12727272727272726</v>
      </c>
      <c r="F9" s="733"/>
      <c r="G9" s="768">
        <f t="shared" si="0"/>
        <v>0</v>
      </c>
    </row>
    <row r="10" spans="1:7" ht="33" customHeight="1">
      <c r="A10" s="1283"/>
      <c r="B10" s="1307"/>
      <c r="C10" s="1282"/>
      <c r="D10" s="2" t="s">
        <v>465</v>
      </c>
      <c r="E10" s="767">
        <f>5/55</f>
        <v>9.0909090909090912E-2</v>
      </c>
      <c r="F10" s="733"/>
      <c r="G10" s="768">
        <f t="shared" si="0"/>
        <v>0</v>
      </c>
    </row>
    <row r="11" spans="1:7" ht="17.25" customHeight="1">
      <c r="A11" s="1283"/>
      <c r="B11" s="1307"/>
      <c r="C11" s="1282"/>
      <c r="D11" s="2" t="s">
        <v>466</v>
      </c>
      <c r="E11" s="767">
        <f>4/55</f>
        <v>7.2727272727272724E-2</v>
      </c>
      <c r="F11" s="733"/>
      <c r="G11" s="768">
        <f t="shared" si="0"/>
        <v>0</v>
      </c>
    </row>
    <row r="12" spans="1:7" ht="16.5" customHeight="1">
      <c r="A12" s="1283"/>
      <c r="B12" s="1307"/>
      <c r="C12" s="1282"/>
      <c r="D12" s="2" t="s">
        <v>467</v>
      </c>
      <c r="E12" s="767">
        <f>4/55</f>
        <v>7.2727272727272724E-2</v>
      </c>
      <c r="F12" s="733"/>
      <c r="G12" s="768">
        <f t="shared" si="0"/>
        <v>0</v>
      </c>
    </row>
    <row r="13" spans="1:7" ht="18.75" customHeight="1">
      <c r="A13" s="1283"/>
      <c r="B13" s="1307"/>
      <c r="C13" s="1282"/>
      <c r="D13" s="2" t="s">
        <v>468</v>
      </c>
      <c r="E13" s="767">
        <f>2/55</f>
        <v>3.6363636363636362E-2</v>
      </c>
      <c r="F13" s="733"/>
      <c r="G13" s="768">
        <f t="shared" si="0"/>
        <v>0</v>
      </c>
    </row>
    <row r="14" spans="1:7" ht="33" customHeight="1">
      <c r="A14" s="1283"/>
      <c r="B14" s="1307"/>
      <c r="C14" s="1282"/>
      <c r="D14" s="2" t="s">
        <v>469</v>
      </c>
      <c r="E14" s="767">
        <f>2/55</f>
        <v>3.6363636363636362E-2</v>
      </c>
      <c r="F14" s="733"/>
      <c r="G14" s="768">
        <f t="shared" si="0"/>
        <v>0</v>
      </c>
    </row>
    <row r="15" spans="1:7" ht="16.5" customHeight="1">
      <c r="A15" s="87"/>
      <c r="B15" s="769" t="s">
        <v>1982</v>
      </c>
      <c r="C15" s="280"/>
      <c r="D15" s="90"/>
      <c r="E15" s="280">
        <f>SUM(E5:E14)</f>
        <v>1</v>
      </c>
      <c r="F15" s="770"/>
      <c r="G15" s="280">
        <f>C5*SUM(G5:G14)</f>
        <v>0</v>
      </c>
    </row>
    <row r="16" spans="1:7" ht="51" customHeight="1">
      <c r="A16" s="1283">
        <v>2</v>
      </c>
      <c r="B16" s="1307" t="s">
        <v>132</v>
      </c>
      <c r="C16" s="1282">
        <f>4/55</f>
        <v>7.2727272727272724E-2</v>
      </c>
      <c r="D16" s="2" t="s">
        <v>133</v>
      </c>
      <c r="E16" s="767">
        <f>2/10</f>
        <v>0.2</v>
      </c>
      <c r="F16" s="733"/>
      <c r="G16" s="768">
        <f>E16*F16</f>
        <v>0</v>
      </c>
    </row>
    <row r="17" spans="1:7" ht="51" customHeight="1">
      <c r="A17" s="1283"/>
      <c r="B17" s="1307"/>
      <c r="C17" s="1282"/>
      <c r="D17" s="2" t="s">
        <v>134</v>
      </c>
      <c r="E17" s="767">
        <f>2/10</f>
        <v>0.2</v>
      </c>
      <c r="F17" s="733"/>
      <c r="G17" s="768">
        <f>E17*F17</f>
        <v>0</v>
      </c>
    </row>
    <row r="18" spans="1:7" ht="31.5">
      <c r="A18" s="1283"/>
      <c r="B18" s="1307"/>
      <c r="C18" s="1282"/>
      <c r="D18" s="2" t="s">
        <v>135</v>
      </c>
      <c r="E18" s="767">
        <f>3/10</f>
        <v>0.3</v>
      </c>
      <c r="F18" s="733"/>
      <c r="G18" s="768">
        <f>E18*F18</f>
        <v>0</v>
      </c>
    </row>
    <row r="19" spans="1:7" ht="31.5">
      <c r="A19" s="1283"/>
      <c r="B19" s="1307"/>
      <c r="C19" s="1282"/>
      <c r="D19" s="2" t="s">
        <v>136</v>
      </c>
      <c r="E19" s="767">
        <f>3/10</f>
        <v>0.3</v>
      </c>
      <c r="F19" s="733"/>
      <c r="G19" s="768">
        <f>E19*F19</f>
        <v>0</v>
      </c>
    </row>
    <row r="20" spans="1:7" ht="15.75" customHeight="1">
      <c r="A20" s="87"/>
      <c r="B20" s="769" t="s">
        <v>1982</v>
      </c>
      <c r="C20" s="280"/>
      <c r="D20" s="90"/>
      <c r="E20" s="280">
        <f>SUM(E16:E19)</f>
        <v>1</v>
      </c>
      <c r="F20" s="770"/>
      <c r="G20" s="280">
        <f>C16*SUM(G16:G19)</f>
        <v>0</v>
      </c>
    </row>
    <row r="21" spans="1:7" ht="66" customHeight="1">
      <c r="A21" s="1283">
        <v>3</v>
      </c>
      <c r="B21" s="1307" t="s">
        <v>137</v>
      </c>
      <c r="C21" s="1282">
        <v>7.0327272727272697E-2</v>
      </c>
      <c r="D21" s="2" t="s">
        <v>138</v>
      </c>
      <c r="E21" s="767">
        <f>5/28</f>
        <v>0.17857142857142858</v>
      </c>
      <c r="F21" s="733"/>
      <c r="G21" s="279">
        <f t="shared" ref="G21:G27" si="1">E21*F21</f>
        <v>0</v>
      </c>
    </row>
    <row r="22" spans="1:7" ht="66" customHeight="1">
      <c r="A22" s="1283"/>
      <c r="B22" s="1307"/>
      <c r="C22" s="1282"/>
      <c r="D22" s="2" t="s">
        <v>139</v>
      </c>
      <c r="E22" s="767">
        <f>6/28</f>
        <v>0.21428571428571427</v>
      </c>
      <c r="F22" s="733"/>
      <c r="G22" s="768">
        <f t="shared" si="1"/>
        <v>0</v>
      </c>
    </row>
    <row r="23" spans="1:7" ht="66.75" customHeight="1">
      <c r="A23" s="1283"/>
      <c r="B23" s="1307"/>
      <c r="C23" s="1282"/>
      <c r="D23" s="189" t="s">
        <v>140</v>
      </c>
      <c r="E23" s="767">
        <f>6/28</f>
        <v>0.21428571428571427</v>
      </c>
      <c r="F23" s="733"/>
      <c r="G23" s="768">
        <f t="shared" si="1"/>
        <v>0</v>
      </c>
    </row>
    <row r="24" spans="1:7" ht="36.75" customHeight="1">
      <c r="A24" s="1283"/>
      <c r="B24" s="1307"/>
      <c r="C24" s="1282"/>
      <c r="D24" s="189" t="s">
        <v>141</v>
      </c>
      <c r="E24" s="767">
        <f>5/28</f>
        <v>0.17857142857142858</v>
      </c>
      <c r="F24" s="733"/>
      <c r="G24" s="768">
        <f t="shared" si="1"/>
        <v>0</v>
      </c>
    </row>
    <row r="25" spans="1:7" ht="49.5" customHeight="1">
      <c r="A25" s="1283"/>
      <c r="B25" s="1307"/>
      <c r="C25" s="1282"/>
      <c r="D25" s="86" t="s">
        <v>142</v>
      </c>
      <c r="E25" s="767">
        <f>2/28</f>
        <v>7.1428571428571425E-2</v>
      </c>
      <c r="F25" s="733"/>
      <c r="G25" s="768">
        <f t="shared" si="1"/>
        <v>0</v>
      </c>
    </row>
    <row r="26" spans="1:7" ht="17.25" customHeight="1">
      <c r="A26" s="1283"/>
      <c r="B26" s="1307"/>
      <c r="C26" s="1282"/>
      <c r="D26" s="86" t="s">
        <v>143</v>
      </c>
      <c r="E26" s="767">
        <f>2.5/28</f>
        <v>8.9285714285714288E-2</v>
      </c>
      <c r="F26" s="733"/>
      <c r="G26" s="279">
        <f t="shared" si="1"/>
        <v>0</v>
      </c>
    </row>
    <row r="27" spans="1:7" ht="16.5" customHeight="1">
      <c r="A27" s="1283"/>
      <c r="B27" s="1307"/>
      <c r="C27" s="1282"/>
      <c r="D27" s="281" t="s">
        <v>703</v>
      </c>
      <c r="E27" s="767">
        <f>1.5/28</f>
        <v>5.3571428571428568E-2</v>
      </c>
      <c r="F27" s="733"/>
      <c r="G27" s="279">
        <f t="shared" si="1"/>
        <v>0</v>
      </c>
    </row>
    <row r="28" spans="1:7" ht="15.75" customHeight="1">
      <c r="A28" s="87"/>
      <c r="B28" s="769" t="s">
        <v>1982</v>
      </c>
      <c r="C28" s="280"/>
      <c r="D28" s="90"/>
      <c r="E28" s="280">
        <f>SUM(E21:E27)</f>
        <v>1</v>
      </c>
      <c r="F28" s="770"/>
      <c r="G28" s="280">
        <f>C21*SUM(G21:G27)</f>
        <v>0</v>
      </c>
    </row>
    <row r="29" spans="1:7" ht="32.25" customHeight="1">
      <c r="A29" s="1283">
        <v>4</v>
      </c>
      <c r="B29" s="1312" t="s">
        <v>866</v>
      </c>
      <c r="C29" s="1282">
        <v>7.2727272727272724E-2</v>
      </c>
      <c r="D29" s="2" t="s">
        <v>867</v>
      </c>
      <c r="E29" s="278">
        <f>3/6</f>
        <v>0.5</v>
      </c>
      <c r="F29" s="733"/>
      <c r="G29" s="279">
        <f>E29*F29</f>
        <v>0</v>
      </c>
    </row>
    <row r="30" spans="1:7" ht="34.5" customHeight="1">
      <c r="A30" s="1283"/>
      <c r="B30" s="1313"/>
      <c r="C30" s="1282"/>
      <c r="D30" s="2" t="s">
        <v>136</v>
      </c>
      <c r="E30" s="278">
        <f>2/6</f>
        <v>0.33333333333333331</v>
      </c>
      <c r="F30" s="733"/>
      <c r="G30" s="279">
        <f>E30*F30</f>
        <v>0</v>
      </c>
    </row>
    <row r="31" spans="1:7" ht="31.5">
      <c r="A31" s="1283"/>
      <c r="B31" s="1314"/>
      <c r="C31" s="1282"/>
      <c r="D31" s="2" t="s">
        <v>135</v>
      </c>
      <c r="E31" s="278">
        <f>1/6</f>
        <v>0.16666666666666666</v>
      </c>
      <c r="F31" s="733"/>
      <c r="G31" s="279">
        <f>E31*F31</f>
        <v>0</v>
      </c>
    </row>
    <row r="32" spans="1:7">
      <c r="A32" s="87"/>
      <c r="B32" s="769" t="s">
        <v>1982</v>
      </c>
      <c r="C32" s="280"/>
      <c r="D32" s="90"/>
      <c r="E32" s="280">
        <f>SUM(E29:E31)</f>
        <v>0.99999999999999989</v>
      </c>
      <c r="F32" s="770"/>
      <c r="G32" s="280">
        <f>C29*SUM(G29:G31)</f>
        <v>0</v>
      </c>
    </row>
    <row r="33" spans="1:7" ht="24" customHeight="1">
      <c r="A33" s="1283">
        <v>5</v>
      </c>
      <c r="B33" s="1307" t="s">
        <v>868</v>
      </c>
      <c r="C33" s="1282">
        <f>5/55</f>
        <v>9.0909090909090912E-2</v>
      </c>
      <c r="D33" s="2" t="s">
        <v>869</v>
      </c>
      <c r="E33" s="767">
        <f>1.5/6</f>
        <v>0.25</v>
      </c>
      <c r="F33" s="733"/>
      <c r="G33" s="768">
        <f>E33*F33</f>
        <v>0</v>
      </c>
    </row>
    <row r="34" spans="1:7" ht="49.5" customHeight="1">
      <c r="A34" s="1283"/>
      <c r="B34" s="1307"/>
      <c r="C34" s="1282"/>
      <c r="D34" s="2" t="s">
        <v>870</v>
      </c>
      <c r="E34" s="767">
        <f>3/6</f>
        <v>0.5</v>
      </c>
      <c r="F34" s="733"/>
      <c r="G34" s="768">
        <f>E34*F34</f>
        <v>0</v>
      </c>
    </row>
    <row r="35" spans="1:7" ht="46.5" customHeight="1">
      <c r="A35" s="1283"/>
      <c r="B35" s="1307"/>
      <c r="C35" s="1282"/>
      <c r="D35" s="2" t="s">
        <v>1639</v>
      </c>
      <c r="E35" s="767">
        <f>1.5/6</f>
        <v>0.25</v>
      </c>
      <c r="F35" s="733"/>
      <c r="G35" s="768">
        <f>E35*F35</f>
        <v>0</v>
      </c>
    </row>
    <row r="36" spans="1:7">
      <c r="A36" s="87"/>
      <c r="B36" s="769" t="s">
        <v>1982</v>
      </c>
      <c r="C36" s="280"/>
      <c r="D36" s="90"/>
      <c r="E36" s="280">
        <f>SUM(E33:E35)</f>
        <v>1</v>
      </c>
      <c r="F36" s="770"/>
      <c r="G36" s="280">
        <f>C33*SUM(G33:G35)</f>
        <v>0</v>
      </c>
    </row>
    <row r="37" spans="1:7" ht="20.25" customHeight="1">
      <c r="A37" s="1283">
        <v>6</v>
      </c>
      <c r="B37" s="1307" t="s">
        <v>871</v>
      </c>
      <c r="C37" s="1282">
        <f>10/55</f>
        <v>0.18181818181818182</v>
      </c>
      <c r="D37" s="2" t="s">
        <v>872</v>
      </c>
      <c r="E37" s="767">
        <f>4/45</f>
        <v>8.8888888888888892E-2</v>
      </c>
      <c r="F37" s="733"/>
      <c r="G37" s="768">
        <f>E37*F37</f>
        <v>0</v>
      </c>
    </row>
    <row r="38" spans="1:7" ht="18" customHeight="1">
      <c r="A38" s="1283"/>
      <c r="B38" s="1307"/>
      <c r="C38" s="1282"/>
      <c r="D38" s="2" t="s">
        <v>873</v>
      </c>
      <c r="E38" s="767">
        <f>2/45</f>
        <v>4.4444444444444446E-2</v>
      </c>
      <c r="F38" s="733"/>
      <c r="G38" s="768">
        <f t="shared" ref="G38:G44" si="2">E38*F38</f>
        <v>0</v>
      </c>
    </row>
    <row r="39" spans="1:7" ht="33" customHeight="1">
      <c r="A39" s="1283"/>
      <c r="B39" s="1307"/>
      <c r="C39" s="1282"/>
      <c r="D39" s="2" t="s">
        <v>874</v>
      </c>
      <c r="E39" s="767">
        <f>5/45</f>
        <v>0.1111111111111111</v>
      </c>
      <c r="F39" s="733"/>
      <c r="G39" s="768">
        <f t="shared" si="2"/>
        <v>0</v>
      </c>
    </row>
    <row r="40" spans="1:7" ht="33" customHeight="1">
      <c r="A40" s="1283"/>
      <c r="B40" s="1307"/>
      <c r="C40" s="1282"/>
      <c r="D40" s="2" t="s">
        <v>875</v>
      </c>
      <c r="E40" s="767">
        <f>3/45</f>
        <v>6.6666666666666666E-2</v>
      </c>
      <c r="F40" s="733"/>
      <c r="G40" s="768">
        <f t="shared" si="2"/>
        <v>0</v>
      </c>
    </row>
    <row r="41" spans="1:7" ht="65.25" customHeight="1">
      <c r="A41" s="1283"/>
      <c r="B41" s="1307"/>
      <c r="C41" s="1282"/>
      <c r="D41" s="2" t="s">
        <v>876</v>
      </c>
      <c r="E41" s="767">
        <f>7/45</f>
        <v>0.15555555555555556</v>
      </c>
      <c r="F41" s="733"/>
      <c r="G41" s="768">
        <f t="shared" si="2"/>
        <v>0</v>
      </c>
    </row>
    <row r="42" spans="1:7" ht="33" customHeight="1">
      <c r="A42" s="1283"/>
      <c r="B42" s="1307"/>
      <c r="C42" s="1282"/>
      <c r="D42" s="2" t="s">
        <v>877</v>
      </c>
      <c r="E42" s="767">
        <f>8/45</f>
        <v>0.17777777777777778</v>
      </c>
      <c r="F42" s="733"/>
      <c r="G42" s="768">
        <f t="shared" si="2"/>
        <v>0</v>
      </c>
    </row>
    <row r="43" spans="1:7" ht="18.75" customHeight="1">
      <c r="A43" s="1283"/>
      <c r="B43" s="1307"/>
      <c r="C43" s="1282"/>
      <c r="D43" s="2" t="s">
        <v>878</v>
      </c>
      <c r="E43" s="767">
        <f>6.5/45</f>
        <v>0.14444444444444443</v>
      </c>
      <c r="F43" s="733"/>
      <c r="G43" s="768">
        <f t="shared" si="2"/>
        <v>0</v>
      </c>
    </row>
    <row r="44" spans="1:7" ht="66" customHeight="1">
      <c r="A44" s="1283"/>
      <c r="B44" s="1307"/>
      <c r="C44" s="1282"/>
      <c r="D44" s="2" t="s">
        <v>879</v>
      </c>
      <c r="E44" s="767">
        <f>6.5/45</f>
        <v>0.14444444444444443</v>
      </c>
      <c r="F44" s="733"/>
      <c r="G44" s="768">
        <f t="shared" si="2"/>
        <v>0</v>
      </c>
    </row>
    <row r="45" spans="1:7" ht="47.25">
      <c r="A45" s="1283"/>
      <c r="B45" s="1307"/>
      <c r="C45" s="1282"/>
      <c r="D45" s="2" t="s">
        <v>880</v>
      </c>
      <c r="E45" s="767">
        <f>3/45</f>
        <v>6.6666666666666666E-2</v>
      </c>
      <c r="F45" s="733"/>
      <c r="G45" s="768">
        <f>E45*F45</f>
        <v>0</v>
      </c>
    </row>
    <row r="46" spans="1:7">
      <c r="A46" s="87"/>
      <c r="B46" s="769" t="s">
        <v>1982</v>
      </c>
      <c r="C46" s="280"/>
      <c r="D46" s="90"/>
      <c r="E46" s="280">
        <f>SUM(E37:E45)</f>
        <v>1</v>
      </c>
      <c r="F46" s="770"/>
      <c r="G46" s="280">
        <f>C37*SUM(G37:G45)</f>
        <v>0</v>
      </c>
    </row>
    <row r="47" spans="1:7" ht="33" customHeight="1">
      <c r="A47" s="1283">
        <v>7</v>
      </c>
      <c r="B47" s="1307" t="s">
        <v>881</v>
      </c>
      <c r="C47" s="1282">
        <v>7.2727272727272724E-2</v>
      </c>
      <c r="D47" s="2" t="s">
        <v>882</v>
      </c>
      <c r="E47" s="278">
        <f>2/3</f>
        <v>0.66666666666666663</v>
      </c>
      <c r="F47" s="733"/>
      <c r="G47" s="279">
        <f>E47*F47</f>
        <v>0</v>
      </c>
    </row>
    <row r="48" spans="1:7" ht="47.25">
      <c r="A48" s="1283"/>
      <c r="B48" s="1307"/>
      <c r="C48" s="1282"/>
      <c r="D48" s="2" t="s">
        <v>883</v>
      </c>
      <c r="E48" s="278">
        <f>1/3</f>
        <v>0.33333333333333331</v>
      </c>
      <c r="F48" s="733"/>
      <c r="G48" s="279">
        <f>E48*F48</f>
        <v>0</v>
      </c>
    </row>
    <row r="49" spans="1:7">
      <c r="A49" s="87"/>
      <c r="B49" s="769" t="s">
        <v>1982</v>
      </c>
      <c r="C49" s="280"/>
      <c r="D49" s="90"/>
      <c r="E49" s="280">
        <f>SUM(E47:E48)</f>
        <v>1</v>
      </c>
      <c r="F49" s="770"/>
      <c r="G49" s="280">
        <f>C47*SUM(G47:G48)</f>
        <v>0</v>
      </c>
    </row>
    <row r="50" spans="1:7" ht="18" customHeight="1">
      <c r="A50" s="1283">
        <v>8</v>
      </c>
      <c r="B50" s="1307" t="s">
        <v>884</v>
      </c>
      <c r="C50" s="1282">
        <f>6/55</f>
        <v>0.10909090909090909</v>
      </c>
      <c r="D50" s="2" t="s">
        <v>885</v>
      </c>
      <c r="E50" s="767">
        <f>2/10</f>
        <v>0.2</v>
      </c>
      <c r="F50" s="733"/>
      <c r="G50" s="768">
        <f>E50*F50</f>
        <v>0</v>
      </c>
    </row>
    <row r="51" spans="1:7" ht="32.25" customHeight="1">
      <c r="A51" s="1283"/>
      <c r="B51" s="1307"/>
      <c r="C51" s="1282"/>
      <c r="D51" s="2" t="s">
        <v>886</v>
      </c>
      <c r="E51" s="767">
        <f>3.5/10</f>
        <v>0.35</v>
      </c>
      <c r="F51" s="733"/>
      <c r="G51" s="768">
        <f>E51*F51</f>
        <v>0</v>
      </c>
    </row>
    <row r="52" spans="1:7" ht="115.5" customHeight="1">
      <c r="A52" s="1283"/>
      <c r="B52" s="1307"/>
      <c r="C52" s="1282"/>
      <c r="D52" s="2" t="s">
        <v>887</v>
      </c>
      <c r="E52" s="767">
        <f>3.5/10</f>
        <v>0.35</v>
      </c>
      <c r="F52" s="733"/>
      <c r="G52" s="768">
        <f>E52*F52</f>
        <v>0</v>
      </c>
    </row>
    <row r="53" spans="1:7" ht="31.5" customHeight="1">
      <c r="A53" s="1283"/>
      <c r="B53" s="1307"/>
      <c r="C53" s="1282"/>
      <c r="D53" s="92" t="s">
        <v>888</v>
      </c>
      <c r="E53" s="767">
        <f>1/10</f>
        <v>0.1</v>
      </c>
      <c r="F53" s="733"/>
      <c r="G53" s="768">
        <f>E53*F53</f>
        <v>0</v>
      </c>
    </row>
    <row r="54" spans="1:7">
      <c r="A54" s="87"/>
      <c r="B54" s="769" t="s">
        <v>1982</v>
      </c>
      <c r="C54" s="280"/>
      <c r="D54" s="90"/>
      <c r="E54" s="280">
        <f>SUM(E50:E53)</f>
        <v>1</v>
      </c>
      <c r="F54" s="770"/>
      <c r="G54" s="280">
        <f>C50*SUM(G50:G53)</f>
        <v>0</v>
      </c>
    </row>
    <row r="55" spans="1:7" ht="49.5" customHeight="1">
      <c r="A55" s="1283">
        <v>9</v>
      </c>
      <c r="B55" s="1307" t="s">
        <v>68</v>
      </c>
      <c r="C55" s="1282">
        <f>7/55</f>
        <v>0.12727272727272726</v>
      </c>
      <c r="D55" s="86" t="s">
        <v>889</v>
      </c>
      <c r="E55" s="771">
        <f>7/65</f>
        <v>0.1076923076923077</v>
      </c>
      <c r="F55" s="733"/>
      <c r="G55" s="768">
        <f>E55*F55</f>
        <v>0</v>
      </c>
    </row>
    <row r="56" spans="1:7" ht="20.25" customHeight="1">
      <c r="A56" s="1283"/>
      <c r="B56" s="1307"/>
      <c r="C56" s="1282"/>
      <c r="D56" s="86" t="s">
        <v>890</v>
      </c>
      <c r="E56" s="771">
        <f>4/65</f>
        <v>6.1538461538461542E-2</v>
      </c>
      <c r="F56" s="733"/>
      <c r="G56" s="768">
        <f t="shared" ref="G56:G66" si="3">E56*F56</f>
        <v>0</v>
      </c>
    </row>
    <row r="57" spans="1:7" ht="20.25" customHeight="1">
      <c r="A57" s="1283"/>
      <c r="B57" s="1307"/>
      <c r="C57" s="1282"/>
      <c r="D57" s="86" t="s">
        <v>891</v>
      </c>
      <c r="E57" s="771">
        <f>1/65</f>
        <v>1.5384615384615385E-2</v>
      </c>
      <c r="F57" s="733"/>
      <c r="G57" s="768">
        <f t="shared" si="3"/>
        <v>0</v>
      </c>
    </row>
    <row r="58" spans="1:7" ht="20.25" customHeight="1">
      <c r="A58" s="1283"/>
      <c r="B58" s="1307"/>
      <c r="C58" s="1282"/>
      <c r="D58" s="86" t="s">
        <v>892</v>
      </c>
      <c r="E58" s="771">
        <f>5/65</f>
        <v>7.6923076923076927E-2</v>
      </c>
      <c r="F58" s="733"/>
      <c r="G58" s="768">
        <f t="shared" si="3"/>
        <v>0</v>
      </c>
    </row>
    <row r="59" spans="1:7" ht="34.5" customHeight="1">
      <c r="A59" s="1283"/>
      <c r="B59" s="1307"/>
      <c r="C59" s="1282"/>
      <c r="D59" s="86" t="s">
        <v>893</v>
      </c>
      <c r="E59" s="771">
        <f>5/65</f>
        <v>7.6923076923076927E-2</v>
      </c>
      <c r="F59" s="733"/>
      <c r="G59" s="768">
        <f t="shared" si="3"/>
        <v>0</v>
      </c>
    </row>
    <row r="60" spans="1:7" ht="20.25" customHeight="1">
      <c r="A60" s="1283"/>
      <c r="B60" s="1307"/>
      <c r="C60" s="1282"/>
      <c r="D60" s="281" t="s">
        <v>894</v>
      </c>
      <c r="E60" s="771">
        <f>1.5/65</f>
        <v>2.3076923076923078E-2</v>
      </c>
      <c r="F60" s="733"/>
      <c r="G60" s="768">
        <f t="shared" si="3"/>
        <v>0</v>
      </c>
    </row>
    <row r="61" spans="1:7" ht="20.25" customHeight="1">
      <c r="A61" s="1283"/>
      <c r="B61" s="1307"/>
      <c r="C61" s="1282"/>
      <c r="D61" s="281" t="s">
        <v>895</v>
      </c>
      <c r="E61" s="771">
        <f>1.5/65</f>
        <v>2.3076923076923078E-2</v>
      </c>
      <c r="F61" s="733"/>
      <c r="G61" s="768">
        <f t="shared" si="3"/>
        <v>0</v>
      </c>
    </row>
    <row r="62" spans="1:7" ht="20.25" customHeight="1">
      <c r="A62" s="1283"/>
      <c r="B62" s="1307"/>
      <c r="C62" s="1282"/>
      <c r="D62" s="281" t="s">
        <v>896</v>
      </c>
      <c r="E62" s="771">
        <f>1.5/65</f>
        <v>2.3076923076923078E-2</v>
      </c>
      <c r="F62" s="733"/>
      <c r="G62" s="768">
        <f t="shared" si="3"/>
        <v>0</v>
      </c>
    </row>
    <row r="63" spans="1:7" ht="20.25" customHeight="1">
      <c r="A63" s="1283"/>
      <c r="B63" s="1307"/>
      <c r="C63" s="1282"/>
      <c r="D63" s="92" t="s">
        <v>43</v>
      </c>
      <c r="E63" s="771">
        <f>5.5/65</f>
        <v>8.461538461538462E-2</v>
      </c>
      <c r="F63" s="733"/>
      <c r="G63" s="768">
        <f t="shared" si="3"/>
        <v>0</v>
      </c>
    </row>
    <row r="64" spans="1:7" ht="22.5" customHeight="1">
      <c r="A64" s="1283"/>
      <c r="B64" s="1307"/>
      <c r="C64" s="1282"/>
      <c r="D64" s="772" t="s">
        <v>897</v>
      </c>
      <c r="E64" s="771">
        <f>7/65</f>
        <v>0.1076923076923077</v>
      </c>
      <c r="F64" s="733"/>
      <c r="G64" s="768">
        <f t="shared" si="3"/>
        <v>0</v>
      </c>
    </row>
    <row r="65" spans="1:10" ht="32.25" customHeight="1">
      <c r="A65" s="1283"/>
      <c r="B65" s="1307"/>
      <c r="C65" s="1282"/>
      <c r="D65" s="86" t="s">
        <v>898</v>
      </c>
      <c r="E65" s="771">
        <f>5/65</f>
        <v>7.6923076923076927E-2</v>
      </c>
      <c r="F65" s="733"/>
      <c r="G65" s="768">
        <f t="shared" si="3"/>
        <v>0</v>
      </c>
    </row>
    <row r="66" spans="1:10" ht="33.75" customHeight="1">
      <c r="A66" s="1283"/>
      <c r="B66" s="1307"/>
      <c r="C66" s="1282"/>
      <c r="D66" s="86" t="s">
        <v>899</v>
      </c>
      <c r="E66" s="771">
        <f>5/65</f>
        <v>7.6923076923076927E-2</v>
      </c>
      <c r="F66" s="773"/>
      <c r="G66" s="768">
        <f t="shared" si="3"/>
        <v>0</v>
      </c>
    </row>
    <row r="67" spans="1:10" ht="112.5" customHeight="1">
      <c r="A67" s="1283"/>
      <c r="B67" s="1307"/>
      <c r="C67" s="1282"/>
      <c r="D67" s="86" t="s">
        <v>900</v>
      </c>
      <c r="E67" s="771">
        <f>6/65</f>
        <v>9.2307692307692313E-2</v>
      </c>
      <c r="F67" s="773"/>
      <c r="G67" s="768">
        <f>E67*F67</f>
        <v>0</v>
      </c>
    </row>
    <row r="68" spans="1:10" ht="52.5" customHeight="1">
      <c r="A68" s="1283"/>
      <c r="B68" s="1307"/>
      <c r="C68" s="1282"/>
      <c r="D68" s="277" t="s">
        <v>901</v>
      </c>
      <c r="E68" s="771">
        <f>3/65</f>
        <v>4.6153846153846156E-2</v>
      </c>
      <c r="F68" s="733"/>
      <c r="G68" s="768">
        <f>E68*F68</f>
        <v>0</v>
      </c>
    </row>
    <row r="69" spans="1:10" ht="33" customHeight="1">
      <c r="A69" s="1283"/>
      <c r="B69" s="1307"/>
      <c r="C69" s="1282"/>
      <c r="D69" s="277" t="s">
        <v>902</v>
      </c>
      <c r="E69" s="771">
        <f>7/65</f>
        <v>0.1076923076923077</v>
      </c>
      <c r="F69" s="733"/>
      <c r="G69" s="768">
        <f>E69*F69</f>
        <v>0</v>
      </c>
    </row>
    <row r="70" spans="1:10">
      <c r="A70" s="87"/>
      <c r="B70" s="769" t="s">
        <v>1982</v>
      </c>
      <c r="C70" s="280"/>
      <c r="D70" s="90"/>
      <c r="E70" s="280">
        <f>SUM(E55:E69)</f>
        <v>1</v>
      </c>
      <c r="F70" s="770"/>
      <c r="G70" s="774">
        <f>C55*SUM(G55:G69)</f>
        <v>0</v>
      </c>
    </row>
    <row r="71" spans="1:10" ht="47.25">
      <c r="A71" s="1283">
        <v>10</v>
      </c>
      <c r="B71" s="1307" t="s">
        <v>903</v>
      </c>
      <c r="C71" s="1282">
        <v>0.08</v>
      </c>
      <c r="D71" s="2" t="s">
        <v>904</v>
      </c>
      <c r="E71" s="771">
        <f>3/6</f>
        <v>0.5</v>
      </c>
      <c r="F71" s="733"/>
      <c r="G71" s="768">
        <f>E71*F71</f>
        <v>0</v>
      </c>
    </row>
    <row r="72" spans="1:10" ht="47.25">
      <c r="A72" s="1283"/>
      <c r="B72" s="1307"/>
      <c r="C72" s="1282"/>
      <c r="D72" s="2" t="s">
        <v>905</v>
      </c>
      <c r="E72" s="771">
        <f>1.5/6</f>
        <v>0.25</v>
      </c>
      <c r="F72" s="733"/>
      <c r="G72" s="768">
        <f>E72*F72</f>
        <v>0</v>
      </c>
    </row>
    <row r="73" spans="1:10" ht="30.75" customHeight="1">
      <c r="A73" s="1283"/>
      <c r="B73" s="1307"/>
      <c r="C73" s="1282"/>
      <c r="D73" s="2" t="s">
        <v>906</v>
      </c>
      <c r="E73" s="771">
        <f>1.5/6</f>
        <v>0.25</v>
      </c>
      <c r="F73" s="733"/>
      <c r="G73" s="768">
        <f>E73*F73</f>
        <v>0</v>
      </c>
    </row>
    <row r="74" spans="1:10">
      <c r="A74" s="280"/>
      <c r="B74" s="775" t="s">
        <v>1640</v>
      </c>
      <c r="C74" s="776">
        <f>SUM(C5:C71)</f>
        <v>1.0048727272727274</v>
      </c>
      <c r="D74" s="90"/>
      <c r="E74" s="280">
        <f>SUM(E71:E73)</f>
        <v>1</v>
      </c>
      <c r="F74" s="770"/>
      <c r="G74" s="774">
        <f>C71*SUM(G71:G73)</f>
        <v>0</v>
      </c>
    </row>
    <row r="75" spans="1:10" ht="16.5">
      <c r="A75" s="1308" t="s">
        <v>443</v>
      </c>
      <c r="B75" s="1308"/>
      <c r="C75" s="1308"/>
      <c r="D75" s="90"/>
      <c r="E75" s="280"/>
      <c r="F75" s="770"/>
      <c r="G75" s="280">
        <f>C74*SUM(G15+G20+G28+G36+G32+G46+G49+G54+G70+G74)</f>
        <v>0</v>
      </c>
      <c r="J75" s="273" t="s">
        <v>907</v>
      </c>
    </row>
    <row r="76" spans="1:10" ht="16.5">
      <c r="A76" s="1308" t="s">
        <v>444</v>
      </c>
      <c r="B76" s="1308"/>
      <c r="C76" s="1308"/>
      <c r="D76" s="94"/>
      <c r="E76" s="284"/>
      <c r="F76" s="777"/>
      <c r="G76" s="285" t="str">
        <f>IF(G75&lt;=0.5,"низький",IF(G75&lt;=0.75,"середній",(IF(G75&lt;=0.95,"достатній",(IF(G75&lt;=1,"високий"))))))</f>
        <v>низький</v>
      </c>
    </row>
    <row r="77" spans="1:10" s="302" customFormat="1">
      <c r="A77" s="288" t="s">
        <v>182</v>
      </c>
      <c r="B77" s="289"/>
      <c r="C77" s="342"/>
      <c r="E77" s="343"/>
      <c r="F77" s="344"/>
      <c r="G77" s="112"/>
    </row>
    <row r="78" spans="1:10" s="302" customFormat="1" ht="17.25">
      <c r="A78" s="345" t="s">
        <v>589</v>
      </c>
      <c r="B78" s="346"/>
      <c r="C78" s="347"/>
      <c r="D78" s="303"/>
      <c r="E78" s="348"/>
      <c r="F78" s="349"/>
      <c r="G78" s="112"/>
    </row>
    <row r="79" spans="1:10" s="302" customFormat="1" ht="17.25">
      <c r="A79" s="345" t="s">
        <v>590</v>
      </c>
      <c r="B79" s="346"/>
      <c r="C79" s="347"/>
      <c r="D79" s="303"/>
      <c r="E79" s="348"/>
      <c r="F79" s="349"/>
      <c r="G79" s="112"/>
    </row>
    <row r="80" spans="1:10" s="302" customFormat="1" ht="17.25">
      <c r="A80" s="345" t="s">
        <v>591</v>
      </c>
      <c r="B80" s="346"/>
      <c r="C80" s="347"/>
      <c r="D80" s="303"/>
      <c r="E80" s="348"/>
      <c r="F80" s="349"/>
      <c r="G80" s="112"/>
    </row>
    <row r="81" spans="1:7" s="302" customFormat="1" ht="17.25">
      <c r="A81" s="345" t="s">
        <v>592</v>
      </c>
      <c r="B81" s="346"/>
      <c r="C81" s="347"/>
      <c r="D81" s="303"/>
      <c r="E81" s="348"/>
      <c r="F81" s="349"/>
      <c r="G81" s="112"/>
    </row>
    <row r="82" spans="1:7" s="302" customFormat="1" ht="17.25">
      <c r="A82" s="345" t="s">
        <v>593</v>
      </c>
      <c r="B82" s="346"/>
      <c r="C82" s="347"/>
      <c r="D82" s="303"/>
      <c r="E82" s="348"/>
      <c r="F82" s="349"/>
      <c r="G82" s="112"/>
    </row>
    <row r="83" spans="1:7" s="302" customFormat="1" ht="17.25">
      <c r="A83" s="345" t="s">
        <v>594</v>
      </c>
      <c r="B83" s="346"/>
      <c r="C83" s="347"/>
      <c r="D83" s="303"/>
      <c r="E83" s="348"/>
      <c r="F83" s="349"/>
      <c r="G83" s="112"/>
    </row>
    <row r="84" spans="1:7" s="302" customFormat="1" ht="17.25">
      <c r="A84" s="345" t="s">
        <v>595</v>
      </c>
      <c r="B84" s="346"/>
      <c r="C84" s="347"/>
      <c r="D84" s="303"/>
      <c r="E84" s="348"/>
      <c r="F84" s="349"/>
      <c r="G84" s="112"/>
    </row>
    <row r="85" spans="1:7" s="302" customFormat="1">
      <c r="A85" s="350" t="s">
        <v>596</v>
      </c>
      <c r="B85" s="346"/>
      <c r="C85" s="347"/>
      <c r="D85" s="303"/>
      <c r="E85" s="348"/>
      <c r="F85" s="349"/>
      <c r="G85" s="112"/>
    </row>
    <row r="86" spans="1:7" s="302" customFormat="1">
      <c r="A86" s="345" t="s">
        <v>597</v>
      </c>
      <c r="B86" s="346"/>
      <c r="C86" s="347"/>
      <c r="D86" s="303"/>
      <c r="E86" s="348"/>
      <c r="F86" s="349"/>
      <c r="G86" s="112"/>
    </row>
    <row r="87" spans="1:7" s="302" customFormat="1">
      <c r="A87" s="288" t="s">
        <v>792</v>
      </c>
      <c r="B87" s="346"/>
      <c r="C87" s="347"/>
      <c r="D87" s="303"/>
      <c r="E87" s="348"/>
      <c r="F87" s="349"/>
      <c r="G87" s="112"/>
    </row>
    <row r="88" spans="1:7" s="302" customFormat="1">
      <c r="A88" s="288" t="s">
        <v>793</v>
      </c>
      <c r="B88" s="346"/>
      <c r="C88" s="347"/>
      <c r="D88" s="303"/>
      <c r="E88" s="348"/>
      <c r="F88" s="349"/>
      <c r="G88" s="112"/>
    </row>
    <row r="89" spans="1:7" s="302" customFormat="1">
      <c r="A89" s="288" t="s">
        <v>794</v>
      </c>
      <c r="B89" s="346"/>
      <c r="C89" s="347"/>
      <c r="D89" s="303"/>
      <c r="E89" s="348"/>
      <c r="F89" s="349"/>
      <c r="G89" s="112"/>
    </row>
    <row r="90" spans="1:7" s="302" customFormat="1">
      <c r="A90" s="342"/>
      <c r="B90" s="342" t="s">
        <v>20</v>
      </c>
      <c r="C90" s="342"/>
      <c r="D90" s="342"/>
      <c r="E90" s="342"/>
      <c r="F90" s="342"/>
      <c r="G90" s="342"/>
    </row>
    <row r="91" spans="1:7" s="302" customFormat="1">
      <c r="A91" s="351"/>
      <c r="B91" s="351"/>
      <c r="C91" s="351"/>
      <c r="D91" s="351"/>
      <c r="E91" s="351"/>
      <c r="F91" s="351"/>
      <c r="G91" s="351"/>
    </row>
    <row r="92" spans="1:7" s="302" customFormat="1">
      <c r="A92" s="351"/>
      <c r="B92" s="351"/>
      <c r="C92" s="351"/>
      <c r="D92" s="351"/>
      <c r="E92" s="351"/>
      <c r="F92" s="351"/>
      <c r="G92" s="351"/>
    </row>
    <row r="93" spans="1:7" s="302" customFormat="1">
      <c r="A93" s="351"/>
      <c r="B93" s="351"/>
      <c r="C93" s="351"/>
      <c r="D93" s="351"/>
      <c r="E93" s="351"/>
      <c r="F93" s="351"/>
      <c r="G93" s="351"/>
    </row>
    <row r="94" spans="1:7" s="302" customFormat="1">
      <c r="A94" s="351"/>
      <c r="B94" s="351"/>
      <c r="C94" s="351"/>
      <c r="D94" s="351"/>
      <c r="E94" s="351"/>
      <c r="F94" s="351"/>
      <c r="G94" s="351"/>
    </row>
    <row r="95" spans="1:7" s="302" customFormat="1">
      <c r="A95" s="351"/>
      <c r="B95" s="351"/>
      <c r="C95" s="351"/>
      <c r="D95" s="351"/>
      <c r="E95" s="351"/>
      <c r="F95" s="351"/>
      <c r="G95" s="351"/>
    </row>
    <row r="96" spans="1:7" s="302" customFormat="1">
      <c r="A96" s="351"/>
      <c r="B96" s="351"/>
      <c r="C96" s="351"/>
      <c r="D96" s="351"/>
      <c r="E96" s="351"/>
      <c r="F96" s="351"/>
      <c r="G96" s="351"/>
    </row>
    <row r="97" spans="1:7" s="302" customFormat="1">
      <c r="A97" s="351"/>
      <c r="B97" s="351"/>
      <c r="C97" s="351"/>
      <c r="D97" s="351"/>
      <c r="E97" s="351"/>
      <c r="F97" s="351"/>
      <c r="G97" s="351"/>
    </row>
    <row r="98" spans="1:7" s="302" customFormat="1">
      <c r="A98" s="351"/>
      <c r="B98" s="351"/>
      <c r="C98" s="351"/>
      <c r="D98" s="351"/>
      <c r="E98" s="351"/>
      <c r="F98" s="351"/>
      <c r="G98" s="351"/>
    </row>
    <row r="99" spans="1:7" s="302" customFormat="1">
      <c r="A99" s="351"/>
      <c r="B99" s="351"/>
      <c r="C99" s="351"/>
      <c r="D99" s="351"/>
      <c r="E99" s="351"/>
      <c r="F99" s="351"/>
      <c r="G99" s="351"/>
    </row>
    <row r="100" spans="1:7" s="302" customFormat="1">
      <c r="A100" s="351"/>
      <c r="B100" s="351"/>
      <c r="C100" s="351"/>
      <c r="D100" s="351"/>
      <c r="E100" s="351"/>
      <c r="F100" s="351"/>
      <c r="G100" s="351"/>
    </row>
    <row r="101" spans="1:7" s="302" customFormat="1">
      <c r="A101" s="351"/>
      <c r="B101" s="351"/>
      <c r="C101" s="351"/>
      <c r="D101" s="351"/>
      <c r="E101" s="351"/>
      <c r="F101" s="351"/>
      <c r="G101" s="351"/>
    </row>
    <row r="102" spans="1:7" s="302" customFormat="1">
      <c r="A102" s="351"/>
      <c r="B102" s="351"/>
      <c r="C102" s="351"/>
      <c r="D102" s="351"/>
      <c r="E102" s="351"/>
      <c r="F102" s="351"/>
      <c r="G102" s="351"/>
    </row>
    <row r="103" spans="1:7" s="302" customFormat="1">
      <c r="A103" s="351"/>
      <c r="B103" s="351"/>
      <c r="C103" s="351"/>
      <c r="D103" s="351"/>
      <c r="E103" s="351"/>
      <c r="F103" s="351"/>
      <c r="G103" s="351"/>
    </row>
    <row r="104" spans="1:7" s="302" customFormat="1">
      <c r="A104" s="351"/>
      <c r="B104" s="351"/>
      <c r="C104" s="351"/>
      <c r="D104" s="351"/>
      <c r="E104" s="351"/>
      <c r="F104" s="351"/>
      <c r="G104" s="351"/>
    </row>
    <row r="105" spans="1:7" s="302" customFormat="1">
      <c r="A105" s="342"/>
      <c r="B105" s="352" t="s">
        <v>2418</v>
      </c>
      <c r="C105" s="352"/>
      <c r="D105" s="352"/>
      <c r="E105" s="352"/>
      <c r="F105" s="352"/>
      <c r="G105" s="352"/>
    </row>
    <row r="106" spans="1:7" s="302" customFormat="1">
      <c r="A106" s="342"/>
      <c r="B106" s="353"/>
      <c r="C106" s="353"/>
      <c r="D106" s="353"/>
      <c r="E106" s="353"/>
      <c r="F106" s="353"/>
      <c r="G106" s="353"/>
    </row>
    <row r="107" spans="1:7" s="302" customFormat="1">
      <c r="A107" s="342"/>
      <c r="B107" s="352" t="s">
        <v>22</v>
      </c>
      <c r="C107" s="352"/>
      <c r="D107" s="352"/>
      <c r="E107" s="352"/>
      <c r="F107" s="352"/>
      <c r="G107" s="352"/>
    </row>
    <row r="108" spans="1:7" s="302" customFormat="1">
      <c r="A108" s="342"/>
      <c r="B108" s="353"/>
      <c r="C108" s="353"/>
      <c r="D108" s="353"/>
      <c r="E108" s="353"/>
      <c r="F108" s="353"/>
      <c r="G108" s="353"/>
    </row>
    <row r="109" spans="1:7" s="302" customFormat="1">
      <c r="A109" s="342"/>
      <c r="B109" s="352" t="s">
        <v>23</v>
      </c>
      <c r="C109" s="352"/>
      <c r="D109" s="352"/>
      <c r="E109" s="352"/>
      <c r="F109" s="352"/>
      <c r="G109" s="352"/>
    </row>
    <row r="110" spans="1:7" s="302" customFormat="1">
      <c r="A110" s="342"/>
      <c r="B110" s="352" t="s">
        <v>24</v>
      </c>
      <c r="C110" s="352"/>
      <c r="D110" s="352"/>
      <c r="E110" s="352"/>
      <c r="F110" s="352"/>
      <c r="G110" s="352"/>
    </row>
    <row r="111" spans="1:7" s="303" customFormat="1">
      <c r="A111" s="346"/>
      <c r="B111" s="346"/>
      <c r="E111" s="333"/>
    </row>
  </sheetData>
  <mergeCells count="34">
    <mergeCell ref="A76:C76"/>
    <mergeCell ref="A71:A73"/>
    <mergeCell ref="B71:B73"/>
    <mergeCell ref="C71:C73"/>
    <mergeCell ref="A75:C75"/>
    <mergeCell ref="C55:C69"/>
    <mergeCell ref="A50:A53"/>
    <mergeCell ref="B50:B53"/>
    <mergeCell ref="C50:C53"/>
    <mergeCell ref="A37:A45"/>
    <mergeCell ref="A55:A69"/>
    <mergeCell ref="B55:B69"/>
    <mergeCell ref="A47:A48"/>
    <mergeCell ref="B47:B48"/>
    <mergeCell ref="C47:C48"/>
    <mergeCell ref="A33:A35"/>
    <mergeCell ref="B33:B35"/>
    <mergeCell ref="C33:C35"/>
    <mergeCell ref="B37:B45"/>
    <mergeCell ref="C37:C45"/>
    <mergeCell ref="A21:A27"/>
    <mergeCell ref="B21:B27"/>
    <mergeCell ref="C21:C27"/>
    <mergeCell ref="A29:A31"/>
    <mergeCell ref="B29:B31"/>
    <mergeCell ref="C29:C31"/>
    <mergeCell ref="A16:A19"/>
    <mergeCell ref="B16:B19"/>
    <mergeCell ref="C16:C19"/>
    <mergeCell ref="A1:G1"/>
    <mergeCell ref="A2:G2"/>
    <mergeCell ref="A5:A14"/>
    <mergeCell ref="B5:B14"/>
    <mergeCell ref="C5:C14"/>
  </mergeCells>
  <phoneticPr fontId="4" type="noConversion"/>
  <pageMargins left="0.7" right="0.7" top="0.75" bottom="0.75" header="0.3" footer="0.3"/>
  <pageSetup paperSize="9" scale="75" orientation="portrait" r:id="rId1"/>
</worksheet>
</file>

<file path=xl/worksheets/sheet28.xml><?xml version="1.0" encoding="utf-8"?>
<worksheet xmlns="http://schemas.openxmlformats.org/spreadsheetml/2006/main" xmlns:r="http://schemas.openxmlformats.org/officeDocument/2006/relationships">
  <dimension ref="A1:J64"/>
  <sheetViews>
    <sheetView topLeftCell="A25" workbookViewId="0">
      <selection activeCell="E25" sqref="E25"/>
    </sheetView>
  </sheetViews>
  <sheetFormatPr defaultRowHeight="15.75"/>
  <cols>
    <col min="1" max="1" width="6.140625" style="273" customWidth="1"/>
    <col min="2" max="2" width="20.5703125" style="274" customWidth="1"/>
    <col min="3" max="3" width="11.42578125" style="275" customWidth="1"/>
    <col min="4" max="4" width="38.5703125" style="8" customWidth="1"/>
    <col min="5" max="5" width="12.28515625" style="276" customWidth="1"/>
    <col min="6" max="6" width="12.42578125" style="765" customWidth="1"/>
    <col min="7" max="7" width="13.140625" style="275" customWidth="1"/>
    <col min="8" max="16384" width="9.140625" style="273"/>
  </cols>
  <sheetData>
    <row r="1" spans="1:7" ht="15.75" customHeight="1">
      <c r="A1" s="1186" t="s">
        <v>446</v>
      </c>
      <c r="B1" s="1186"/>
      <c r="C1" s="1186"/>
      <c r="D1" s="1186"/>
      <c r="E1" s="1186"/>
      <c r="F1" s="1186"/>
      <c r="G1" s="1186"/>
    </row>
    <row r="2" spans="1:7" ht="63" customHeight="1">
      <c r="A2" s="1186" t="s">
        <v>1779</v>
      </c>
      <c r="B2" s="1186"/>
      <c r="C2" s="1186"/>
      <c r="D2" s="1186"/>
      <c r="E2" s="1186"/>
      <c r="F2" s="1186"/>
      <c r="G2" s="1186"/>
    </row>
    <row r="3" spans="1:7" hidden="1"/>
    <row r="4" spans="1:7" ht="47.25" customHeight="1">
      <c r="A4" s="5" t="s">
        <v>434</v>
      </c>
      <c r="B4" s="766" t="s">
        <v>338</v>
      </c>
      <c r="C4" s="5" t="s">
        <v>771</v>
      </c>
      <c r="D4" s="5" t="s">
        <v>333</v>
      </c>
      <c r="E4" s="5" t="s">
        <v>337</v>
      </c>
      <c r="F4" s="420" t="s">
        <v>770</v>
      </c>
      <c r="G4" s="5" t="s">
        <v>82</v>
      </c>
    </row>
    <row r="5" spans="1:7" ht="47.25">
      <c r="A5" s="1283">
        <v>1</v>
      </c>
      <c r="B5" s="1307" t="s">
        <v>2301</v>
      </c>
      <c r="C5" s="1282">
        <v>0.43</v>
      </c>
      <c r="D5" s="277" t="s">
        <v>722</v>
      </c>
      <c r="E5" s="767">
        <f>9.5/66</f>
        <v>0.14393939393939395</v>
      </c>
      <c r="F5" s="733"/>
      <c r="G5" s="768">
        <f t="shared" ref="G5:G15" si="0">E5*F5</f>
        <v>0</v>
      </c>
    </row>
    <row r="6" spans="1:7" ht="48.75" customHeight="1">
      <c r="A6" s="1283"/>
      <c r="B6" s="1307"/>
      <c r="C6" s="1282"/>
      <c r="D6" s="86" t="s">
        <v>1780</v>
      </c>
      <c r="E6" s="767">
        <f>8/66</f>
        <v>0.12121212121212122</v>
      </c>
      <c r="F6" s="733"/>
      <c r="G6" s="768">
        <f t="shared" si="0"/>
        <v>0</v>
      </c>
    </row>
    <row r="7" spans="1:7" ht="67.5" customHeight="1">
      <c r="A7" s="1283"/>
      <c r="B7" s="1307"/>
      <c r="C7" s="1282"/>
      <c r="D7" s="706" t="s">
        <v>1781</v>
      </c>
      <c r="E7" s="767">
        <f>8/65</f>
        <v>0.12307692307692308</v>
      </c>
      <c r="F7" s="733"/>
      <c r="G7" s="768">
        <f t="shared" si="0"/>
        <v>0</v>
      </c>
    </row>
    <row r="8" spans="1:7" ht="94.5" customHeight="1">
      <c r="A8" s="1283"/>
      <c r="B8" s="1307"/>
      <c r="C8" s="1282"/>
      <c r="D8" s="706" t="s">
        <v>1782</v>
      </c>
      <c r="E8" s="767">
        <f>8/65</f>
        <v>0.12307692307692308</v>
      </c>
      <c r="F8" s="733"/>
      <c r="G8" s="768">
        <f t="shared" si="0"/>
        <v>0</v>
      </c>
    </row>
    <row r="9" spans="1:7" ht="82.5" customHeight="1">
      <c r="A9" s="1283"/>
      <c r="B9" s="1307"/>
      <c r="C9" s="1282"/>
      <c r="D9" s="2" t="s">
        <v>1783</v>
      </c>
      <c r="E9" s="767">
        <f>8/66</f>
        <v>0.12121212121212122</v>
      </c>
      <c r="F9" s="733"/>
      <c r="G9" s="768">
        <f t="shared" si="0"/>
        <v>0</v>
      </c>
    </row>
    <row r="10" spans="1:7" ht="81" customHeight="1">
      <c r="A10" s="1283"/>
      <c r="B10" s="1307"/>
      <c r="C10" s="1282"/>
      <c r="D10" s="706" t="s">
        <v>1784</v>
      </c>
      <c r="E10" s="767">
        <f>7/65</f>
        <v>0.1076923076923077</v>
      </c>
      <c r="F10" s="733"/>
      <c r="G10" s="768">
        <f t="shared" si="0"/>
        <v>0</v>
      </c>
    </row>
    <row r="11" spans="1:7" ht="47.25" customHeight="1">
      <c r="A11" s="1283"/>
      <c r="B11" s="1307"/>
      <c r="C11" s="1282"/>
      <c r="D11" s="2" t="s">
        <v>2306</v>
      </c>
      <c r="E11" s="767">
        <f>7/65</f>
        <v>0.1076923076923077</v>
      </c>
      <c r="F11" s="733"/>
      <c r="G11" s="768">
        <f t="shared" si="0"/>
        <v>0</v>
      </c>
    </row>
    <row r="12" spans="1:7" ht="30.75" customHeight="1">
      <c r="A12" s="1283"/>
      <c r="B12" s="1307"/>
      <c r="C12" s="1282"/>
      <c r="D12" s="2" t="s">
        <v>2307</v>
      </c>
      <c r="E12" s="767">
        <f>5/65</f>
        <v>7.6923076923076927E-2</v>
      </c>
      <c r="F12" s="733"/>
      <c r="G12" s="768">
        <f t="shared" si="0"/>
        <v>0</v>
      </c>
    </row>
    <row r="13" spans="1:7" ht="21.75" customHeight="1">
      <c r="A13" s="1283"/>
      <c r="B13" s="1307"/>
      <c r="C13" s="1282"/>
      <c r="D13" s="2" t="s">
        <v>466</v>
      </c>
      <c r="E13" s="767">
        <f>2/65</f>
        <v>3.0769230769230771E-2</v>
      </c>
      <c r="F13" s="733"/>
      <c r="G13" s="768">
        <f t="shared" si="0"/>
        <v>0</v>
      </c>
    </row>
    <row r="14" spans="1:7" ht="32.25" customHeight="1">
      <c r="A14" s="1283"/>
      <c r="B14" s="1307"/>
      <c r="C14" s="1282"/>
      <c r="D14" s="2" t="s">
        <v>1785</v>
      </c>
      <c r="E14" s="767">
        <f>2/65</f>
        <v>3.0769230769230771E-2</v>
      </c>
      <c r="F14" s="733"/>
      <c r="G14" s="768">
        <f t="shared" si="0"/>
        <v>0</v>
      </c>
    </row>
    <row r="15" spans="1:7" ht="33" customHeight="1">
      <c r="A15" s="1283"/>
      <c r="B15" s="1307"/>
      <c r="C15" s="1282"/>
      <c r="D15" s="2" t="s">
        <v>469</v>
      </c>
      <c r="E15" s="767">
        <f>1/65</f>
        <v>1.5384615384615385E-2</v>
      </c>
      <c r="F15" s="733"/>
      <c r="G15" s="768">
        <f t="shared" si="0"/>
        <v>0</v>
      </c>
    </row>
    <row r="16" spans="1:7" ht="16.5" customHeight="1">
      <c r="A16" s="87"/>
      <c r="B16" s="769" t="s">
        <v>1982</v>
      </c>
      <c r="C16" s="280"/>
      <c r="D16" s="90"/>
      <c r="E16" s="280">
        <f>SUM(E5:E15)</f>
        <v>1.0017482517482517</v>
      </c>
      <c r="F16" s="280">
        <f>SUM(F5:F15)</f>
        <v>0</v>
      </c>
      <c r="G16" s="280">
        <f>C5*SUM(G5:G15)</f>
        <v>0</v>
      </c>
    </row>
    <row r="17" spans="1:10" ht="66.75" customHeight="1">
      <c r="A17" s="1283">
        <v>2</v>
      </c>
      <c r="B17" s="1307" t="s">
        <v>1786</v>
      </c>
      <c r="C17" s="1282">
        <v>0.56999999999999995</v>
      </c>
      <c r="D17" s="2" t="s">
        <v>1787</v>
      </c>
      <c r="E17" s="767">
        <f>6/55</f>
        <v>0.10909090909090909</v>
      </c>
      <c r="F17" s="733"/>
      <c r="G17" s="768">
        <f t="shared" ref="G17:G26" si="1">E17*F17</f>
        <v>0</v>
      </c>
    </row>
    <row r="18" spans="1:10" ht="51" customHeight="1">
      <c r="A18" s="1283"/>
      <c r="B18" s="1307"/>
      <c r="C18" s="1282"/>
      <c r="D18" s="928" t="s">
        <v>1773</v>
      </c>
      <c r="E18" s="767">
        <f>6/55</f>
        <v>0.10909090909090909</v>
      </c>
      <c r="F18" s="733"/>
      <c r="G18" s="768">
        <f t="shared" si="1"/>
        <v>0</v>
      </c>
    </row>
    <row r="19" spans="1:10" ht="81" customHeight="1">
      <c r="A19" s="1283"/>
      <c r="B19" s="1307"/>
      <c r="C19" s="1282"/>
      <c r="D19" s="2" t="s">
        <v>1788</v>
      </c>
      <c r="E19" s="767">
        <f>6/55</f>
        <v>0.10909090909090909</v>
      </c>
      <c r="F19" s="733"/>
      <c r="G19" s="768">
        <f t="shared" si="1"/>
        <v>0</v>
      </c>
    </row>
    <row r="20" spans="1:10" ht="48" customHeight="1">
      <c r="A20" s="1283"/>
      <c r="B20" s="1307"/>
      <c r="C20" s="1282"/>
      <c r="D20" s="931" t="s">
        <v>1789</v>
      </c>
      <c r="E20" s="767">
        <f>6/55</f>
        <v>0.10909090909090909</v>
      </c>
      <c r="F20" s="733"/>
      <c r="G20" s="768">
        <f t="shared" si="1"/>
        <v>0</v>
      </c>
    </row>
    <row r="21" spans="1:10" ht="35.25" customHeight="1">
      <c r="A21" s="1283"/>
      <c r="B21" s="1307"/>
      <c r="C21" s="1282"/>
      <c r="D21" s="2" t="s">
        <v>1774</v>
      </c>
      <c r="E21" s="767">
        <f>6/55</f>
        <v>0.10909090909090909</v>
      </c>
      <c r="F21" s="733"/>
      <c r="G21" s="768">
        <f t="shared" si="1"/>
        <v>0</v>
      </c>
    </row>
    <row r="22" spans="1:10" ht="62.25" customHeight="1">
      <c r="A22" s="1283"/>
      <c r="B22" s="1307"/>
      <c r="C22" s="1282"/>
      <c r="D22" s="931" t="s">
        <v>1790</v>
      </c>
      <c r="E22" s="767">
        <f>4.5/55</f>
        <v>8.1818181818181818E-2</v>
      </c>
      <c r="F22" s="733"/>
      <c r="G22" s="768">
        <f t="shared" si="1"/>
        <v>0</v>
      </c>
    </row>
    <row r="23" spans="1:10" ht="48" customHeight="1">
      <c r="A23" s="1283"/>
      <c r="B23" s="1307"/>
      <c r="C23" s="1282"/>
      <c r="D23" s="931" t="s">
        <v>1791</v>
      </c>
      <c r="E23" s="767">
        <f>6/55</f>
        <v>0.10909090909090909</v>
      </c>
      <c r="F23" s="733"/>
      <c r="G23" s="768">
        <f t="shared" si="1"/>
        <v>0</v>
      </c>
    </row>
    <row r="24" spans="1:10" ht="51" customHeight="1">
      <c r="A24" s="1283"/>
      <c r="B24" s="1307"/>
      <c r="C24" s="1282"/>
      <c r="D24" s="931" t="s">
        <v>1792</v>
      </c>
      <c r="E24" s="767">
        <f>6/55</f>
        <v>0.10909090909090909</v>
      </c>
      <c r="F24" s="733"/>
      <c r="G24" s="768">
        <f t="shared" si="1"/>
        <v>0</v>
      </c>
    </row>
    <row r="25" spans="1:10" ht="66" customHeight="1">
      <c r="A25" s="1283"/>
      <c r="B25" s="1307"/>
      <c r="C25" s="1282"/>
      <c r="D25" s="932" t="s">
        <v>1793</v>
      </c>
      <c r="E25" s="767">
        <f>4/55</f>
        <v>7.2727272727272724E-2</v>
      </c>
      <c r="F25" s="733"/>
      <c r="G25" s="768">
        <f t="shared" si="1"/>
        <v>0</v>
      </c>
    </row>
    <row r="26" spans="1:10" ht="99.75" customHeight="1">
      <c r="A26" s="1283"/>
      <c r="B26" s="1307"/>
      <c r="C26" s="1282"/>
      <c r="D26" s="2" t="s">
        <v>1794</v>
      </c>
      <c r="E26" s="767">
        <f>4.5/55</f>
        <v>8.1818181818181818E-2</v>
      </c>
      <c r="F26" s="733"/>
      <c r="G26" s="768">
        <f t="shared" si="1"/>
        <v>0</v>
      </c>
    </row>
    <row r="27" spans="1:10" ht="15.75" customHeight="1">
      <c r="A27" s="87"/>
      <c r="B27" s="769" t="s">
        <v>1982</v>
      </c>
      <c r="C27" s="986">
        <f>SUM(C5:C26)</f>
        <v>1</v>
      </c>
      <c r="D27" s="90"/>
      <c r="E27" s="280">
        <f>SUM(E17:E26)</f>
        <v>1</v>
      </c>
      <c r="F27" s="280">
        <f>SUM(F15:F26)</f>
        <v>0</v>
      </c>
      <c r="G27" s="280">
        <f>C17*SUM(G17:G26)</f>
        <v>0</v>
      </c>
    </row>
    <row r="28" spans="1:10" ht="16.5">
      <c r="A28" s="1308" t="s">
        <v>443</v>
      </c>
      <c r="B28" s="1308"/>
      <c r="C28" s="1308"/>
      <c r="D28" s="90"/>
      <c r="E28" s="280"/>
      <c r="F28" s="770"/>
      <c r="G28" s="280">
        <f>SUM(G16,G27)</f>
        <v>0</v>
      </c>
      <c r="J28" s="273" t="s">
        <v>907</v>
      </c>
    </row>
    <row r="29" spans="1:10" ht="16.5">
      <c r="A29" s="1308" t="s">
        <v>444</v>
      </c>
      <c r="B29" s="1308"/>
      <c r="C29" s="1308"/>
      <c r="D29" s="94"/>
      <c r="E29" s="284"/>
      <c r="F29" s="777"/>
      <c r="G29" s="285" t="str">
        <f>IF(G28&lt;=0.5,"низький",IF(G28&lt;=0.75,"середній",(IF(G28&lt;=0.95,"достатній",(IF(G28&lt;=1,"високий"))))))</f>
        <v>низький</v>
      </c>
    </row>
    <row r="30" spans="1:10" s="302" customFormat="1">
      <c r="A30" s="288" t="s">
        <v>182</v>
      </c>
      <c r="B30" s="289"/>
      <c r="C30" s="342"/>
      <c r="E30" s="343"/>
      <c r="F30" s="344"/>
      <c r="G30" s="112"/>
    </row>
    <row r="31" spans="1:10" s="302" customFormat="1" ht="17.25">
      <c r="A31" s="345" t="s">
        <v>589</v>
      </c>
      <c r="B31" s="346"/>
      <c r="C31" s="347"/>
      <c r="D31" s="303"/>
      <c r="E31" s="348"/>
      <c r="F31" s="349"/>
      <c r="G31" s="112"/>
    </row>
    <row r="32" spans="1:10" s="302" customFormat="1" ht="17.25">
      <c r="A32" s="345" t="s">
        <v>590</v>
      </c>
      <c r="B32" s="346"/>
      <c r="C32" s="347"/>
      <c r="D32" s="303"/>
      <c r="E32" s="348"/>
      <c r="F32" s="349"/>
      <c r="G32" s="112"/>
    </row>
    <row r="33" spans="1:7" s="302" customFormat="1" ht="17.25">
      <c r="A33" s="345" t="s">
        <v>591</v>
      </c>
      <c r="B33" s="346"/>
      <c r="C33" s="347"/>
      <c r="D33" s="303"/>
      <c r="E33" s="348"/>
      <c r="F33" s="349"/>
      <c r="G33" s="112"/>
    </row>
    <row r="34" spans="1:7" s="302" customFormat="1" ht="17.25">
      <c r="A34" s="345" t="s">
        <v>592</v>
      </c>
      <c r="B34" s="346"/>
      <c r="C34" s="347"/>
      <c r="D34" s="303"/>
      <c r="E34" s="348"/>
      <c r="F34" s="349"/>
      <c r="G34" s="112"/>
    </row>
    <row r="35" spans="1:7" s="302" customFormat="1" ht="17.25">
      <c r="A35" s="345" t="s">
        <v>593</v>
      </c>
      <c r="B35" s="346"/>
      <c r="C35" s="347"/>
      <c r="D35" s="303"/>
      <c r="E35" s="348"/>
      <c r="F35" s="349"/>
      <c r="G35" s="112"/>
    </row>
    <row r="36" spans="1:7" s="302" customFormat="1" ht="17.25">
      <c r="A36" s="345" t="s">
        <v>594</v>
      </c>
      <c r="B36" s="346"/>
      <c r="C36" s="347"/>
      <c r="D36" s="303"/>
      <c r="E36" s="348"/>
      <c r="F36" s="349"/>
      <c r="G36" s="112"/>
    </row>
    <row r="37" spans="1:7" s="302" customFormat="1" ht="17.25">
      <c r="A37" s="345" t="s">
        <v>595</v>
      </c>
      <c r="B37" s="346"/>
      <c r="C37" s="347"/>
      <c r="D37" s="303"/>
      <c r="E37" s="348"/>
      <c r="F37" s="349"/>
      <c r="G37" s="112"/>
    </row>
    <row r="38" spans="1:7" s="302" customFormat="1">
      <c r="A38" s="350" t="s">
        <v>596</v>
      </c>
      <c r="B38" s="346"/>
      <c r="C38" s="347"/>
      <c r="D38" s="303"/>
      <c r="E38" s="348"/>
      <c r="F38" s="349"/>
      <c r="G38" s="112"/>
    </row>
    <row r="39" spans="1:7" s="302" customFormat="1">
      <c r="A39" s="345" t="s">
        <v>597</v>
      </c>
      <c r="B39" s="346"/>
      <c r="C39" s="347"/>
      <c r="D39" s="303"/>
      <c r="E39" s="348"/>
      <c r="F39" s="349"/>
      <c r="G39" s="112"/>
    </row>
    <row r="40" spans="1:7" s="302" customFormat="1">
      <c r="A40" s="288" t="s">
        <v>792</v>
      </c>
      <c r="B40" s="346"/>
      <c r="C40" s="347"/>
      <c r="D40" s="303"/>
      <c r="E40" s="348"/>
      <c r="F40" s="349"/>
      <c r="G40" s="112"/>
    </row>
    <row r="41" spans="1:7" s="302" customFormat="1">
      <c r="A41" s="288" t="s">
        <v>793</v>
      </c>
      <c r="B41" s="346"/>
      <c r="C41" s="347"/>
      <c r="D41" s="303"/>
      <c r="E41" s="348"/>
      <c r="F41" s="349"/>
      <c r="G41" s="112"/>
    </row>
    <row r="42" spans="1:7" s="302" customFormat="1">
      <c r="A42" s="288" t="s">
        <v>794</v>
      </c>
      <c r="B42" s="346"/>
      <c r="C42" s="347"/>
      <c r="D42" s="303"/>
      <c r="E42" s="348"/>
      <c r="F42" s="349"/>
      <c r="G42" s="112"/>
    </row>
    <row r="43" spans="1:7" s="302" customFormat="1">
      <c r="A43" s="342"/>
      <c r="B43" s="342" t="s">
        <v>20</v>
      </c>
      <c r="C43" s="342"/>
      <c r="D43" s="342"/>
      <c r="E43" s="342"/>
      <c r="F43" s="342"/>
      <c r="G43" s="342"/>
    </row>
    <row r="44" spans="1:7" s="302" customFormat="1">
      <c r="A44" s="351"/>
      <c r="B44" s="351"/>
      <c r="C44" s="351"/>
      <c r="D44" s="351"/>
      <c r="E44" s="351"/>
      <c r="F44" s="351"/>
      <c r="G44" s="351"/>
    </row>
    <row r="45" spans="1:7" s="302" customFormat="1">
      <c r="A45" s="351"/>
      <c r="B45" s="351"/>
      <c r="C45" s="351"/>
      <c r="D45" s="351"/>
      <c r="E45" s="351"/>
      <c r="F45" s="351"/>
      <c r="G45" s="351"/>
    </row>
    <row r="46" spans="1:7" s="302" customFormat="1">
      <c r="A46" s="351"/>
      <c r="B46" s="351"/>
      <c r="C46" s="351"/>
      <c r="D46" s="351"/>
      <c r="E46" s="351"/>
      <c r="F46" s="351"/>
      <c r="G46" s="351"/>
    </row>
    <row r="47" spans="1:7" s="302" customFormat="1">
      <c r="A47" s="351"/>
      <c r="B47" s="351"/>
      <c r="C47" s="351"/>
      <c r="D47" s="351"/>
      <c r="E47" s="351"/>
      <c r="F47" s="351"/>
      <c r="G47" s="351"/>
    </row>
    <row r="48" spans="1:7" s="302" customFormat="1">
      <c r="A48" s="351"/>
      <c r="B48" s="351"/>
      <c r="C48" s="351"/>
      <c r="D48" s="351"/>
      <c r="E48" s="351"/>
      <c r="F48" s="351"/>
      <c r="G48" s="351"/>
    </row>
    <row r="49" spans="1:7" s="302" customFormat="1">
      <c r="A49" s="351"/>
      <c r="B49" s="351"/>
      <c r="C49" s="351"/>
      <c r="D49" s="351"/>
      <c r="E49" s="351"/>
      <c r="F49" s="351"/>
      <c r="G49" s="351"/>
    </row>
    <row r="50" spans="1:7" s="302" customFormat="1">
      <c r="A50" s="351"/>
      <c r="B50" s="351"/>
      <c r="C50" s="351"/>
      <c r="D50" s="351"/>
      <c r="E50" s="351"/>
      <c r="F50" s="351"/>
      <c r="G50" s="351"/>
    </row>
    <row r="51" spans="1:7" s="302" customFormat="1">
      <c r="A51" s="351"/>
      <c r="B51" s="351"/>
      <c r="C51" s="351"/>
      <c r="D51" s="351"/>
      <c r="E51" s="351"/>
      <c r="F51" s="351"/>
      <c r="G51" s="351"/>
    </row>
    <row r="52" spans="1:7" s="302" customFormat="1">
      <c r="A52" s="351"/>
      <c r="B52" s="351"/>
      <c r="C52" s="351"/>
      <c r="D52" s="351"/>
      <c r="E52" s="351"/>
      <c r="F52" s="351"/>
      <c r="G52" s="351"/>
    </row>
    <row r="53" spans="1:7" s="302" customFormat="1">
      <c r="A53" s="351"/>
      <c r="B53" s="351"/>
      <c r="C53" s="351"/>
      <c r="D53" s="351"/>
      <c r="E53" s="351"/>
      <c r="F53" s="351"/>
      <c r="G53" s="351"/>
    </row>
    <row r="54" spans="1:7" s="302" customFormat="1">
      <c r="A54" s="351"/>
      <c r="B54" s="351"/>
      <c r="C54" s="351"/>
      <c r="D54" s="351"/>
      <c r="E54" s="351"/>
      <c r="F54" s="351"/>
      <c r="G54" s="351"/>
    </row>
    <row r="55" spans="1:7" s="302" customFormat="1">
      <c r="A55" s="351"/>
      <c r="B55" s="351"/>
      <c r="C55" s="351"/>
      <c r="D55" s="351"/>
      <c r="E55" s="351"/>
      <c r="F55" s="351"/>
      <c r="G55" s="351"/>
    </row>
    <row r="56" spans="1:7" s="302" customFormat="1">
      <c r="A56" s="351"/>
      <c r="B56" s="351"/>
      <c r="C56" s="351"/>
      <c r="D56" s="351"/>
      <c r="E56" s="351"/>
      <c r="F56" s="351"/>
      <c r="G56" s="351"/>
    </row>
    <row r="57" spans="1:7" s="302" customFormat="1">
      <c r="A57" s="351"/>
      <c r="B57" s="351"/>
      <c r="C57" s="351"/>
      <c r="D57" s="351"/>
      <c r="E57" s="351"/>
      <c r="F57" s="351"/>
      <c r="G57" s="351"/>
    </row>
    <row r="58" spans="1:7" s="302" customFormat="1">
      <c r="A58" s="342"/>
      <c r="B58" s="352" t="s">
        <v>2418</v>
      </c>
      <c r="C58" s="352"/>
      <c r="D58" s="352"/>
      <c r="E58" s="352"/>
      <c r="F58" s="352"/>
      <c r="G58" s="352"/>
    </row>
    <row r="59" spans="1:7" s="302" customFormat="1">
      <c r="A59" s="342"/>
      <c r="B59" s="353"/>
      <c r="C59" s="353"/>
      <c r="D59" s="353"/>
      <c r="E59" s="353"/>
      <c r="F59" s="353"/>
      <c r="G59" s="353"/>
    </row>
    <row r="60" spans="1:7" s="302" customFormat="1">
      <c r="A60" s="342"/>
      <c r="B60" s="352" t="s">
        <v>22</v>
      </c>
      <c r="C60" s="352"/>
      <c r="D60" s="352"/>
      <c r="E60" s="352"/>
      <c r="F60" s="352"/>
      <c r="G60" s="352"/>
    </row>
    <row r="61" spans="1:7" s="302" customFormat="1">
      <c r="A61" s="342"/>
      <c r="B61" s="353"/>
      <c r="C61" s="353"/>
      <c r="D61" s="353"/>
      <c r="E61" s="353"/>
      <c r="F61" s="353"/>
      <c r="G61" s="353"/>
    </row>
    <row r="62" spans="1:7" s="302" customFormat="1">
      <c r="A62" s="342"/>
      <c r="B62" s="352" t="s">
        <v>23</v>
      </c>
      <c r="C62" s="352"/>
      <c r="D62" s="352"/>
      <c r="E62" s="352"/>
      <c r="F62" s="352"/>
      <c r="G62" s="352"/>
    </row>
    <row r="63" spans="1:7" s="302" customFormat="1">
      <c r="A63" s="342"/>
      <c r="B63" s="352" t="s">
        <v>24</v>
      </c>
      <c r="C63" s="352"/>
      <c r="D63" s="352"/>
      <c r="E63" s="352"/>
      <c r="F63" s="352"/>
      <c r="G63" s="352"/>
    </row>
    <row r="64" spans="1:7" s="303" customFormat="1">
      <c r="A64" s="346"/>
      <c r="B64" s="346"/>
      <c r="E64" s="333"/>
    </row>
  </sheetData>
  <mergeCells count="10">
    <mergeCell ref="C17:C26"/>
    <mergeCell ref="A28:C28"/>
    <mergeCell ref="A29:C29"/>
    <mergeCell ref="A1:G1"/>
    <mergeCell ref="A2:G2"/>
    <mergeCell ref="A5:A15"/>
    <mergeCell ref="B5:B15"/>
    <mergeCell ref="C5:C15"/>
    <mergeCell ref="A17:A26"/>
    <mergeCell ref="B17:B26"/>
  </mergeCells>
  <phoneticPr fontId="4" type="noConversion"/>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dimension ref="A1:H91"/>
  <sheetViews>
    <sheetView zoomScale="90" zoomScaleNormal="90" workbookViewId="0">
      <selection activeCell="A57" sqref="A57:IV90"/>
    </sheetView>
  </sheetViews>
  <sheetFormatPr defaultRowHeight="15.75"/>
  <cols>
    <col min="1" max="1" width="6.140625" style="273" customWidth="1"/>
    <col min="2" max="2" width="25.140625" style="742" customWidth="1"/>
    <col min="3" max="3" width="13" style="275" customWidth="1"/>
    <col min="4" max="4" width="6.42578125" style="736" customWidth="1"/>
    <col min="5" max="5" width="41.28515625" style="8" customWidth="1"/>
    <col min="6" max="6" width="16.42578125" style="276" customWidth="1"/>
    <col min="7" max="7" width="17.7109375" style="273" customWidth="1"/>
    <col min="8" max="8" width="13.7109375" style="275" customWidth="1"/>
    <col min="9" max="16384" width="9.140625" style="273"/>
  </cols>
  <sheetData>
    <row r="1" spans="1:8" ht="15.75" customHeight="1">
      <c r="A1" s="1327" t="s">
        <v>446</v>
      </c>
      <c r="B1" s="1327"/>
      <c r="C1" s="1327"/>
      <c r="D1" s="1327"/>
      <c r="E1" s="1327"/>
      <c r="F1" s="1327"/>
      <c r="G1" s="1327"/>
      <c r="H1" s="1327"/>
    </row>
    <row r="2" spans="1:8" ht="76.5" customHeight="1">
      <c r="A2" s="1327" t="s">
        <v>121</v>
      </c>
      <c r="B2" s="1327"/>
      <c r="C2" s="1327"/>
      <c r="D2" s="1327"/>
      <c r="E2" s="1327"/>
      <c r="F2" s="1327"/>
      <c r="G2" s="1327"/>
      <c r="H2" s="1327"/>
    </row>
    <row r="4" spans="1:8" ht="47.25" customHeight="1">
      <c r="A4" s="5" t="s">
        <v>434</v>
      </c>
      <c r="B4" s="5" t="s">
        <v>1971</v>
      </c>
      <c r="C4" s="737" t="s">
        <v>1972</v>
      </c>
      <c r="D4" s="5"/>
      <c r="E4" s="5" t="s">
        <v>1973</v>
      </c>
      <c r="F4" s="737" t="s">
        <v>1974</v>
      </c>
      <c r="G4" s="5" t="s">
        <v>399</v>
      </c>
      <c r="H4" s="737" t="s">
        <v>1975</v>
      </c>
    </row>
    <row r="5" spans="1:8" ht="63">
      <c r="A5" s="1315">
        <v>1</v>
      </c>
      <c r="B5" s="1318" t="s">
        <v>64</v>
      </c>
      <c r="C5" s="1321">
        <f>6/45</f>
        <v>0.13333333333333333</v>
      </c>
      <c r="D5" s="310">
        <v>1</v>
      </c>
      <c r="E5" s="743" t="s">
        <v>268</v>
      </c>
      <c r="F5" s="278">
        <f>7/45</f>
        <v>0.15555555555555556</v>
      </c>
      <c r="G5" s="1"/>
      <c r="H5" s="279">
        <f>F5*G5</f>
        <v>0</v>
      </c>
    </row>
    <row r="6" spans="1:8" ht="33" customHeight="1">
      <c r="A6" s="1316"/>
      <c r="B6" s="1319"/>
      <c r="C6" s="1322"/>
      <c r="D6" s="310">
        <v>2</v>
      </c>
      <c r="E6" s="743" t="s">
        <v>269</v>
      </c>
      <c r="F6" s="278">
        <f>8/45</f>
        <v>0.17777777777777778</v>
      </c>
      <c r="G6" s="1"/>
      <c r="H6" s="279">
        <f t="shared" ref="H6:H53" si="0">F6*G6</f>
        <v>0</v>
      </c>
    </row>
    <row r="7" spans="1:8" ht="85.5" customHeight="1">
      <c r="A7" s="1316"/>
      <c r="B7" s="1319"/>
      <c r="C7" s="1322"/>
      <c r="D7" s="310">
        <v>3</v>
      </c>
      <c r="E7" s="706" t="s">
        <v>270</v>
      </c>
      <c r="F7" s="278">
        <f>6/45</f>
        <v>0.13333333333333333</v>
      </c>
      <c r="G7" s="1"/>
      <c r="H7" s="279">
        <f t="shared" si="0"/>
        <v>0</v>
      </c>
    </row>
    <row r="8" spans="1:8" ht="47.25" customHeight="1">
      <c r="A8" s="1316"/>
      <c r="B8" s="1319"/>
      <c r="C8" s="1322"/>
      <c r="D8" s="310">
        <v>4</v>
      </c>
      <c r="E8" s="706" t="s">
        <v>2033</v>
      </c>
      <c r="F8" s="278">
        <f>4/45</f>
        <v>8.8888888888888892E-2</v>
      </c>
      <c r="G8" s="1"/>
      <c r="H8" s="279">
        <f t="shared" si="0"/>
        <v>0</v>
      </c>
    </row>
    <row r="9" spans="1:8" ht="48.75" customHeight="1">
      <c r="A9" s="1316"/>
      <c r="B9" s="1319"/>
      <c r="C9" s="1322"/>
      <c r="D9" s="310">
        <v>5</v>
      </c>
      <c r="E9" s="706" t="s">
        <v>2034</v>
      </c>
      <c r="F9" s="278">
        <f>4/45</f>
        <v>8.8888888888888892E-2</v>
      </c>
      <c r="G9" s="1"/>
      <c r="H9" s="279">
        <f t="shared" si="0"/>
        <v>0</v>
      </c>
    </row>
    <row r="10" spans="1:8" ht="50.25" customHeight="1">
      <c r="A10" s="1316"/>
      <c r="B10" s="1319"/>
      <c r="C10" s="1322"/>
      <c r="D10" s="310">
        <v>6</v>
      </c>
      <c r="E10" s="706" t="s">
        <v>2035</v>
      </c>
      <c r="F10" s="278">
        <f>4/45</f>
        <v>8.8888888888888892E-2</v>
      </c>
      <c r="G10" s="1"/>
      <c r="H10" s="279">
        <f t="shared" si="0"/>
        <v>0</v>
      </c>
    </row>
    <row r="11" spans="1:8" ht="32.25" customHeight="1">
      <c r="A11" s="1316"/>
      <c r="B11" s="1319"/>
      <c r="C11" s="1322"/>
      <c r="D11" s="310">
        <v>7</v>
      </c>
      <c r="E11" s="706" t="s">
        <v>2036</v>
      </c>
      <c r="F11" s="278">
        <f>7/45</f>
        <v>0.15555555555555556</v>
      </c>
      <c r="G11" s="1"/>
      <c r="H11" s="279">
        <f t="shared" si="0"/>
        <v>0</v>
      </c>
    </row>
    <row r="12" spans="1:8" ht="45.75" customHeight="1">
      <c r="A12" s="1316"/>
      <c r="B12" s="1319"/>
      <c r="C12" s="1322"/>
      <c r="D12" s="310">
        <v>8</v>
      </c>
      <c r="E12" s="706" t="s">
        <v>271</v>
      </c>
      <c r="F12" s="278">
        <f>4/45</f>
        <v>8.8888888888888892E-2</v>
      </c>
      <c r="G12" s="1"/>
      <c r="H12" s="279">
        <f t="shared" si="0"/>
        <v>0</v>
      </c>
    </row>
    <row r="13" spans="1:8" ht="47.25">
      <c r="A13" s="1317"/>
      <c r="B13" s="1320"/>
      <c r="C13" s="1323"/>
      <c r="D13" s="310">
        <v>9</v>
      </c>
      <c r="E13" s="86" t="s">
        <v>272</v>
      </c>
      <c r="F13" s="278">
        <f>1/45</f>
        <v>2.2222222222222223E-2</v>
      </c>
      <c r="G13" s="1"/>
      <c r="H13" s="279">
        <f t="shared" si="0"/>
        <v>0</v>
      </c>
    </row>
    <row r="14" spans="1:8" ht="16.5" customHeight="1">
      <c r="A14" s="87"/>
      <c r="B14" s="88" t="s">
        <v>1982</v>
      </c>
      <c r="C14" s="280"/>
      <c r="D14" s="89">
        <f>SUM(D5:D13)</f>
        <v>45</v>
      </c>
      <c r="E14" s="90"/>
      <c r="F14" s="280">
        <f>SUM(F5:F13)</f>
        <v>1</v>
      </c>
      <c r="G14" s="89"/>
      <c r="H14" s="280">
        <f>C5*SUM(H5:H13)</f>
        <v>0</v>
      </c>
    </row>
    <row r="15" spans="1:8" ht="51" customHeight="1">
      <c r="A15" s="1315">
        <v>2</v>
      </c>
      <c r="B15" s="1318" t="s">
        <v>273</v>
      </c>
      <c r="C15" s="1321">
        <f>5/45</f>
        <v>0.1111111111111111</v>
      </c>
      <c r="D15" s="310">
        <v>1</v>
      </c>
      <c r="E15" s="706" t="s">
        <v>701</v>
      </c>
      <c r="F15" s="278">
        <f>3/6</f>
        <v>0.5</v>
      </c>
      <c r="G15" s="1"/>
      <c r="H15" s="279">
        <f t="shared" si="0"/>
        <v>0</v>
      </c>
    </row>
    <row r="16" spans="1:8" ht="31.5">
      <c r="A16" s="1316"/>
      <c r="B16" s="1319"/>
      <c r="C16" s="1322"/>
      <c r="D16" s="310">
        <v>2</v>
      </c>
      <c r="E16" s="706" t="s">
        <v>2037</v>
      </c>
      <c r="F16" s="278">
        <f>2/6</f>
        <v>0.33333333333333331</v>
      </c>
      <c r="G16" s="1"/>
      <c r="H16" s="279">
        <f t="shared" si="0"/>
        <v>0</v>
      </c>
    </row>
    <row r="17" spans="1:8" ht="16.5">
      <c r="A17" s="1317"/>
      <c r="B17" s="1320"/>
      <c r="C17" s="1323"/>
      <c r="D17" s="310">
        <v>3</v>
      </c>
      <c r="E17" s="706" t="s">
        <v>702</v>
      </c>
      <c r="F17" s="278">
        <f>1/6</f>
        <v>0.16666666666666666</v>
      </c>
      <c r="G17" s="1"/>
      <c r="H17" s="279">
        <f t="shared" si="0"/>
        <v>0</v>
      </c>
    </row>
    <row r="18" spans="1:8" ht="15.75" customHeight="1">
      <c r="A18" s="87"/>
      <c r="B18" s="88" t="s">
        <v>1982</v>
      </c>
      <c r="C18" s="280"/>
      <c r="D18" s="89">
        <f>SUM(D15:D17)</f>
        <v>6</v>
      </c>
      <c r="E18" s="90"/>
      <c r="F18" s="280">
        <f>SUM(F15:F17)</f>
        <v>0.99999999999999989</v>
      </c>
      <c r="G18" s="89"/>
      <c r="H18" s="280">
        <f>C15*SUM(H15:H17)</f>
        <v>0</v>
      </c>
    </row>
    <row r="19" spans="1:8" ht="33.75" customHeight="1">
      <c r="A19" s="1315">
        <v>3</v>
      </c>
      <c r="B19" s="1318" t="s">
        <v>122</v>
      </c>
      <c r="C19" s="1321">
        <f>5/45</f>
        <v>0.1111111111111111</v>
      </c>
      <c r="D19" s="310">
        <v>1</v>
      </c>
      <c r="E19" s="86" t="s">
        <v>123</v>
      </c>
      <c r="F19" s="278">
        <f>3/6</f>
        <v>0.5</v>
      </c>
      <c r="G19" s="1"/>
      <c r="H19" s="279">
        <f t="shared" si="0"/>
        <v>0</v>
      </c>
    </row>
    <row r="20" spans="1:8" ht="16.5">
      <c r="A20" s="1316"/>
      <c r="B20" s="1319"/>
      <c r="C20" s="1322"/>
      <c r="D20" s="310">
        <v>2</v>
      </c>
      <c r="E20" s="744" t="s">
        <v>703</v>
      </c>
      <c r="F20" s="278">
        <f>1/6</f>
        <v>0.16666666666666666</v>
      </c>
      <c r="G20" s="1"/>
      <c r="H20" s="279">
        <f t="shared" si="0"/>
        <v>0</v>
      </c>
    </row>
    <row r="21" spans="1:8" ht="47.25">
      <c r="A21" s="1317"/>
      <c r="B21" s="1320"/>
      <c r="C21" s="1323"/>
      <c r="D21" s="310">
        <v>3</v>
      </c>
      <c r="E21" s="706" t="s">
        <v>704</v>
      </c>
      <c r="F21" s="278">
        <f>2/6</f>
        <v>0.33333333333333331</v>
      </c>
      <c r="G21" s="1"/>
      <c r="H21" s="279">
        <f t="shared" si="0"/>
        <v>0</v>
      </c>
    </row>
    <row r="22" spans="1:8" ht="15.75" customHeight="1">
      <c r="A22" s="87"/>
      <c r="B22" s="88" t="s">
        <v>1982</v>
      </c>
      <c r="C22" s="280"/>
      <c r="D22" s="89">
        <f>SUM(D19:D21)</f>
        <v>6</v>
      </c>
      <c r="E22" s="90"/>
      <c r="F22" s="280">
        <f>SUM(F19:F21)</f>
        <v>1</v>
      </c>
      <c r="G22" s="89"/>
      <c r="H22" s="280">
        <f>C19*SUM(H19:H21)</f>
        <v>0</v>
      </c>
    </row>
    <row r="23" spans="1:8" ht="32.25" customHeight="1">
      <c r="A23" s="1315">
        <v>4</v>
      </c>
      <c r="B23" s="1318" t="s">
        <v>705</v>
      </c>
      <c r="C23" s="1321">
        <f>6/45</f>
        <v>0.13333333333333333</v>
      </c>
      <c r="D23" s="653">
        <v>1</v>
      </c>
      <c r="E23" s="282" t="s">
        <v>706</v>
      </c>
      <c r="F23" s="278">
        <f>5.5/28</f>
        <v>0.19642857142857142</v>
      </c>
      <c r="G23" s="1"/>
      <c r="H23" s="279">
        <f t="shared" si="0"/>
        <v>0</v>
      </c>
    </row>
    <row r="24" spans="1:8" ht="47.25" customHeight="1">
      <c r="A24" s="1316"/>
      <c r="B24" s="1319"/>
      <c r="C24" s="1322"/>
      <c r="D24" s="653">
        <v>2</v>
      </c>
      <c r="E24" s="283" t="s">
        <v>2038</v>
      </c>
      <c r="F24" s="278">
        <f>3/28</f>
        <v>0.10714285714285714</v>
      </c>
      <c r="G24" s="1"/>
      <c r="H24" s="279">
        <f t="shared" si="0"/>
        <v>0</v>
      </c>
    </row>
    <row r="25" spans="1:8" ht="47.25">
      <c r="A25" s="1316"/>
      <c r="B25" s="1319"/>
      <c r="C25" s="1322"/>
      <c r="D25" s="653">
        <v>3</v>
      </c>
      <c r="E25" s="745" t="s">
        <v>2039</v>
      </c>
      <c r="F25" s="278">
        <f>3/28</f>
        <v>0.10714285714285714</v>
      </c>
      <c r="G25" s="1"/>
      <c r="H25" s="279">
        <f t="shared" si="0"/>
        <v>0</v>
      </c>
    </row>
    <row r="26" spans="1:8" ht="47.25">
      <c r="A26" s="1316"/>
      <c r="B26" s="1319"/>
      <c r="C26" s="1322"/>
      <c r="D26" s="653">
        <v>4</v>
      </c>
      <c r="E26" s="745" t="s">
        <v>2040</v>
      </c>
      <c r="F26" s="278">
        <f>3/28</f>
        <v>0.10714285714285714</v>
      </c>
      <c r="G26" s="1"/>
      <c r="H26" s="279">
        <f t="shared" si="0"/>
        <v>0</v>
      </c>
    </row>
    <row r="27" spans="1:8" ht="47.25">
      <c r="A27" s="1316"/>
      <c r="B27" s="1319"/>
      <c r="C27" s="1322"/>
      <c r="D27" s="653">
        <v>5</v>
      </c>
      <c r="E27" s="745" t="s">
        <v>707</v>
      </c>
      <c r="F27" s="278">
        <f>4.5/28</f>
        <v>0.16071428571428573</v>
      </c>
      <c r="G27" s="1"/>
      <c r="H27" s="279">
        <f t="shared" si="0"/>
        <v>0</v>
      </c>
    </row>
    <row r="28" spans="1:8" ht="47.25">
      <c r="A28" s="1316"/>
      <c r="B28" s="1319"/>
      <c r="C28" s="1322"/>
      <c r="D28" s="653">
        <v>6</v>
      </c>
      <c r="E28" s="745" t="s">
        <v>708</v>
      </c>
      <c r="F28" s="278">
        <f>4.5/28</f>
        <v>0.16071428571428573</v>
      </c>
      <c r="G28" s="1"/>
      <c r="H28" s="279">
        <f t="shared" si="0"/>
        <v>0</v>
      </c>
    </row>
    <row r="29" spans="1:8" ht="63">
      <c r="A29" s="1317"/>
      <c r="B29" s="1320"/>
      <c r="C29" s="1323"/>
      <c r="D29" s="653">
        <v>7</v>
      </c>
      <c r="E29" s="745" t="s">
        <v>709</v>
      </c>
      <c r="F29" s="278">
        <f>4.5/28</f>
        <v>0.16071428571428573</v>
      </c>
      <c r="G29" s="1"/>
      <c r="H29" s="279">
        <f t="shared" si="0"/>
        <v>0</v>
      </c>
    </row>
    <row r="30" spans="1:8">
      <c r="A30" s="87"/>
      <c r="B30" s="88" t="s">
        <v>1982</v>
      </c>
      <c r="C30" s="280"/>
      <c r="D30" s="89">
        <f>SUM(D23:D29)</f>
        <v>28</v>
      </c>
      <c r="E30" s="90"/>
      <c r="F30" s="280">
        <f>SUM(F23:F29)</f>
        <v>0.99999999999999989</v>
      </c>
      <c r="G30" s="89"/>
      <c r="H30" s="280">
        <f>C23*SUM(H23:H29)</f>
        <v>0</v>
      </c>
    </row>
    <row r="31" spans="1:8" ht="51" customHeight="1">
      <c r="A31" s="1315">
        <v>5</v>
      </c>
      <c r="B31" s="1318" t="s">
        <v>710</v>
      </c>
      <c r="C31" s="1321">
        <f>6/45</f>
        <v>0.13333333333333333</v>
      </c>
      <c r="D31" s="11">
        <v>1</v>
      </c>
      <c r="E31" s="619" t="s">
        <v>124</v>
      </c>
      <c r="F31" s="746">
        <f>1/10</f>
        <v>0.1</v>
      </c>
      <c r="G31" s="1"/>
      <c r="H31" s="279">
        <f t="shared" si="0"/>
        <v>0</v>
      </c>
    </row>
    <row r="32" spans="1:8" ht="66" customHeight="1">
      <c r="A32" s="1316"/>
      <c r="B32" s="1319"/>
      <c r="C32" s="1322"/>
      <c r="D32" s="11">
        <v>2</v>
      </c>
      <c r="E32" s="619" t="s">
        <v>125</v>
      </c>
      <c r="F32" s="746">
        <f>2.5/10</f>
        <v>0.25</v>
      </c>
      <c r="G32" s="1"/>
      <c r="H32" s="279">
        <f t="shared" si="0"/>
        <v>0</v>
      </c>
    </row>
    <row r="33" spans="1:8" ht="60.75" customHeight="1">
      <c r="A33" s="1316"/>
      <c r="B33" s="1319"/>
      <c r="C33" s="1322"/>
      <c r="D33" s="11">
        <v>3</v>
      </c>
      <c r="E33" s="619" t="s">
        <v>126</v>
      </c>
      <c r="F33" s="746">
        <f>2.5/10</f>
        <v>0.25</v>
      </c>
      <c r="G33" s="1"/>
      <c r="H33" s="279">
        <f t="shared" si="0"/>
        <v>0</v>
      </c>
    </row>
    <row r="34" spans="1:8" ht="47.25">
      <c r="A34" s="1317"/>
      <c r="B34" s="1320"/>
      <c r="C34" s="1323"/>
      <c r="D34" s="11">
        <v>4</v>
      </c>
      <c r="E34" s="619" t="s">
        <v>2041</v>
      </c>
      <c r="F34" s="746">
        <f>4/10</f>
        <v>0.4</v>
      </c>
      <c r="G34" s="1"/>
      <c r="H34" s="279">
        <f t="shared" si="0"/>
        <v>0</v>
      </c>
    </row>
    <row r="35" spans="1:8">
      <c r="A35" s="87"/>
      <c r="B35" s="88" t="s">
        <v>1982</v>
      </c>
      <c r="C35" s="280"/>
      <c r="D35" s="89">
        <f>SUM(D31:D34)</f>
        <v>10</v>
      </c>
      <c r="E35" s="90"/>
      <c r="F35" s="280">
        <f>SUM(F31:F34)</f>
        <v>1</v>
      </c>
      <c r="G35" s="89"/>
      <c r="H35" s="280">
        <f>C31*SUM(H31:H34)</f>
        <v>0</v>
      </c>
    </row>
    <row r="36" spans="1:8" ht="33" customHeight="1">
      <c r="A36" s="1315">
        <v>6</v>
      </c>
      <c r="B36" s="1318" t="s">
        <v>711</v>
      </c>
      <c r="C36" s="1321">
        <f>2/45</f>
        <v>4.4444444444444446E-2</v>
      </c>
      <c r="D36" s="310">
        <v>1</v>
      </c>
      <c r="E36" s="86" t="s">
        <v>712</v>
      </c>
      <c r="F36" s="746">
        <f>2/3</f>
        <v>0.66666666666666663</v>
      </c>
      <c r="G36" s="1"/>
      <c r="H36" s="279">
        <f t="shared" si="0"/>
        <v>0</v>
      </c>
    </row>
    <row r="37" spans="1:8" ht="47.25">
      <c r="A37" s="1317"/>
      <c r="B37" s="1320"/>
      <c r="C37" s="1323"/>
      <c r="D37" s="310">
        <v>2</v>
      </c>
      <c r="E37" s="86" t="s">
        <v>127</v>
      </c>
      <c r="F37" s="746">
        <f>1/3</f>
        <v>0.33333333333333331</v>
      </c>
      <c r="G37" s="1"/>
      <c r="H37" s="279">
        <f t="shared" si="0"/>
        <v>0</v>
      </c>
    </row>
    <row r="38" spans="1:8">
      <c r="A38" s="87"/>
      <c r="B38" s="88" t="s">
        <v>1982</v>
      </c>
      <c r="C38" s="280"/>
      <c r="D38" s="89">
        <f>SUM(D36:D37)</f>
        <v>3</v>
      </c>
      <c r="E38" s="90"/>
      <c r="F38" s="280">
        <f>SUM(F36:F37)</f>
        <v>1</v>
      </c>
      <c r="G38" s="89"/>
      <c r="H38" s="280">
        <f>C36*SUM(H36:H37)</f>
        <v>0</v>
      </c>
    </row>
    <row r="39" spans="1:8" ht="33" customHeight="1">
      <c r="A39" s="1315">
        <v>7</v>
      </c>
      <c r="B39" s="1318" t="s">
        <v>713</v>
      </c>
      <c r="C39" s="1321">
        <f>6/45</f>
        <v>0.13333333333333333</v>
      </c>
      <c r="D39" s="653">
        <v>1</v>
      </c>
      <c r="E39" s="282" t="s">
        <v>714</v>
      </c>
      <c r="F39" s="746">
        <f>2.5/10</f>
        <v>0.25</v>
      </c>
      <c r="G39" s="1"/>
      <c r="H39" s="279">
        <f t="shared" si="0"/>
        <v>0</v>
      </c>
    </row>
    <row r="40" spans="1:8" ht="47.25">
      <c r="A40" s="1316"/>
      <c r="B40" s="1319"/>
      <c r="C40" s="1322"/>
      <c r="D40" s="653">
        <v>2</v>
      </c>
      <c r="E40" s="282" t="s">
        <v>2042</v>
      </c>
      <c r="F40" s="746">
        <f>2.5/10</f>
        <v>0.25</v>
      </c>
      <c r="G40" s="1"/>
      <c r="H40" s="279">
        <f t="shared" si="0"/>
        <v>0</v>
      </c>
    </row>
    <row r="41" spans="1:8" ht="31.5">
      <c r="A41" s="1316"/>
      <c r="B41" s="1319"/>
      <c r="C41" s="1322"/>
      <c r="D41" s="653">
        <v>3</v>
      </c>
      <c r="E41" s="282" t="s">
        <v>2043</v>
      </c>
      <c r="F41" s="746">
        <f>2.5/10</f>
        <v>0.25</v>
      </c>
      <c r="G41" s="1"/>
      <c r="H41" s="279">
        <f t="shared" si="0"/>
        <v>0</v>
      </c>
    </row>
    <row r="42" spans="1:8" ht="45" customHeight="1">
      <c r="A42" s="1317"/>
      <c r="B42" s="1320"/>
      <c r="C42" s="1323"/>
      <c r="D42" s="653">
        <v>4</v>
      </c>
      <c r="E42" s="282" t="s">
        <v>2044</v>
      </c>
      <c r="F42" s="746">
        <f>2.5/10</f>
        <v>0.25</v>
      </c>
      <c r="G42" s="1"/>
      <c r="H42" s="279">
        <f t="shared" si="0"/>
        <v>0</v>
      </c>
    </row>
    <row r="43" spans="1:8">
      <c r="A43" s="87"/>
      <c r="B43" s="88" t="s">
        <v>1982</v>
      </c>
      <c r="C43" s="280"/>
      <c r="D43" s="89">
        <f>SUM(D39:D42)</f>
        <v>10</v>
      </c>
      <c r="E43" s="90"/>
      <c r="F43" s="280">
        <f>SUM(F39:F42)</f>
        <v>1</v>
      </c>
      <c r="G43" s="89"/>
      <c r="H43" s="280">
        <f>C39*SUM(H39:H42)</f>
        <v>0</v>
      </c>
    </row>
    <row r="44" spans="1:8" ht="37.5" customHeight="1">
      <c r="A44" s="1315">
        <v>8</v>
      </c>
      <c r="B44" s="1324" t="s">
        <v>715</v>
      </c>
      <c r="C44" s="1321">
        <f>4/45</f>
        <v>8.8888888888888892E-2</v>
      </c>
      <c r="D44" s="310">
        <v>1</v>
      </c>
      <c r="E44" s="86" t="s">
        <v>716</v>
      </c>
      <c r="F44" s="746">
        <f>3/15</f>
        <v>0.2</v>
      </c>
      <c r="G44" s="1"/>
      <c r="H44" s="279">
        <f t="shared" si="0"/>
        <v>0</v>
      </c>
    </row>
    <row r="45" spans="1:8" ht="18.75" customHeight="1">
      <c r="A45" s="1316"/>
      <c r="B45" s="1325"/>
      <c r="C45" s="1322"/>
      <c r="D45" s="310">
        <v>2</v>
      </c>
      <c r="E45" s="86" t="s">
        <v>717</v>
      </c>
      <c r="F45" s="746">
        <f>2/15</f>
        <v>0.13333333333333333</v>
      </c>
      <c r="G45" s="1"/>
      <c r="H45" s="279">
        <f t="shared" si="0"/>
        <v>0</v>
      </c>
    </row>
    <row r="46" spans="1:8" ht="16.5" customHeight="1">
      <c r="A46" s="1316"/>
      <c r="B46" s="1325"/>
      <c r="C46" s="1322"/>
      <c r="D46" s="310">
        <v>3</v>
      </c>
      <c r="E46" s="86" t="s">
        <v>718</v>
      </c>
      <c r="F46" s="746">
        <f>2/15</f>
        <v>0.13333333333333333</v>
      </c>
      <c r="G46" s="1"/>
      <c r="H46" s="279">
        <f t="shared" si="0"/>
        <v>0</v>
      </c>
    </row>
    <row r="47" spans="1:8" ht="47.25">
      <c r="A47" s="1316"/>
      <c r="B47" s="1325"/>
      <c r="C47" s="1322"/>
      <c r="D47" s="310">
        <v>4</v>
      </c>
      <c r="E47" s="92" t="s">
        <v>719</v>
      </c>
      <c r="F47" s="746">
        <f>4/15</f>
        <v>0.26666666666666666</v>
      </c>
      <c r="G47" s="1"/>
      <c r="H47" s="279">
        <f t="shared" si="0"/>
        <v>0</v>
      </c>
    </row>
    <row r="48" spans="1:8" ht="42.75" customHeight="1">
      <c r="A48" s="1317"/>
      <c r="B48" s="1326"/>
      <c r="C48" s="1323"/>
      <c r="D48" s="310">
        <v>5</v>
      </c>
      <c r="E48" s="86" t="s">
        <v>720</v>
      </c>
      <c r="F48" s="746">
        <f>4/15</f>
        <v>0.26666666666666666</v>
      </c>
      <c r="G48" s="1"/>
      <c r="H48" s="279">
        <f t="shared" si="0"/>
        <v>0</v>
      </c>
    </row>
    <row r="49" spans="1:8">
      <c r="A49" s="87"/>
      <c r="B49" s="88" t="s">
        <v>1982</v>
      </c>
      <c r="C49" s="280"/>
      <c r="D49" s="89">
        <f>SUM(D44:D48)</f>
        <v>15</v>
      </c>
      <c r="E49" s="90"/>
      <c r="F49" s="280">
        <f>SUM(F44:F48)</f>
        <v>1</v>
      </c>
      <c r="G49" s="89"/>
      <c r="H49" s="280">
        <f>C44*SUM(H44:H48)</f>
        <v>0</v>
      </c>
    </row>
    <row r="50" spans="1:8" ht="33" customHeight="1">
      <c r="A50" s="1315">
        <v>9</v>
      </c>
      <c r="B50" s="1318" t="s">
        <v>128</v>
      </c>
      <c r="C50" s="1321">
        <f>5/45</f>
        <v>0.1111111111111111</v>
      </c>
      <c r="D50" s="310">
        <v>1</v>
      </c>
      <c r="E50" s="86" t="s">
        <v>2045</v>
      </c>
      <c r="F50" s="747">
        <f>3.6/10.5</f>
        <v>0.34285714285714286</v>
      </c>
      <c r="G50" s="1"/>
      <c r="H50" s="279">
        <f t="shared" si="0"/>
        <v>0</v>
      </c>
    </row>
    <row r="51" spans="1:8" ht="63">
      <c r="A51" s="1316"/>
      <c r="B51" s="1319"/>
      <c r="C51" s="1322"/>
      <c r="D51" s="310">
        <v>2</v>
      </c>
      <c r="E51" s="86" t="s">
        <v>2046</v>
      </c>
      <c r="F51" s="747">
        <f>2.6/10</f>
        <v>0.26</v>
      </c>
      <c r="G51" s="1"/>
      <c r="H51" s="279">
        <f t="shared" si="0"/>
        <v>0</v>
      </c>
    </row>
    <row r="52" spans="1:8" ht="31.5">
      <c r="A52" s="1316"/>
      <c r="B52" s="1319"/>
      <c r="C52" s="1322"/>
      <c r="D52" s="310">
        <v>3</v>
      </c>
      <c r="E52" s="706" t="s">
        <v>1993</v>
      </c>
      <c r="F52" s="747">
        <f>2.5/10</f>
        <v>0.25</v>
      </c>
      <c r="G52" s="1"/>
      <c r="H52" s="279">
        <f t="shared" si="0"/>
        <v>0</v>
      </c>
    </row>
    <row r="53" spans="1:8" ht="16.5">
      <c r="A53" s="1317"/>
      <c r="B53" s="1320"/>
      <c r="C53" s="1323"/>
      <c r="D53" s="310">
        <v>4</v>
      </c>
      <c r="E53" s="706" t="s">
        <v>702</v>
      </c>
      <c r="F53" s="747">
        <f>1.5/10.5</f>
        <v>0.14285714285714285</v>
      </c>
      <c r="G53" s="1"/>
      <c r="H53" s="279">
        <f t="shared" si="0"/>
        <v>0</v>
      </c>
    </row>
    <row r="54" spans="1:8">
      <c r="A54" s="748"/>
      <c r="B54" s="749" t="s">
        <v>1982</v>
      </c>
      <c r="C54" s="750"/>
      <c r="D54" s="93">
        <f>SUM(D50:D53)</f>
        <v>10</v>
      </c>
      <c r="E54" s="90"/>
      <c r="F54" s="280">
        <f>SUM(F50:F53)</f>
        <v>0.99571428571428577</v>
      </c>
      <c r="G54" s="89"/>
      <c r="H54" s="280">
        <f>C50*SUM(H50:H53)</f>
        <v>0</v>
      </c>
    </row>
    <row r="55" spans="1:8" ht="15.75" customHeight="1">
      <c r="A55" s="1277" t="s">
        <v>443</v>
      </c>
      <c r="B55" s="1278"/>
      <c r="C55" s="1279"/>
      <c r="D55" s="93"/>
      <c r="E55" s="90"/>
      <c r="F55" s="280"/>
      <c r="G55" s="89"/>
      <c r="H55" s="280">
        <f>H14+H18+H22+H35+H38+H43+H49+H54</f>
        <v>0</v>
      </c>
    </row>
    <row r="56" spans="1:8" ht="16.5" customHeight="1">
      <c r="A56" s="1277" t="s">
        <v>444</v>
      </c>
      <c r="B56" s="1278"/>
      <c r="C56" s="1279"/>
      <c r="D56" s="634"/>
      <c r="E56" s="94"/>
      <c r="F56" s="284"/>
      <c r="G56" s="954"/>
      <c r="H56" s="955" t="str">
        <f>IF(H55&lt;=0.65,"низький",IF(H55&lt;=0.75,"середній",IF(H55&lt;=0.95,"достатній","високий")))</f>
        <v>низький</v>
      </c>
    </row>
    <row r="57" spans="1:8" s="302" customFormat="1">
      <c r="A57" s="288" t="s">
        <v>182</v>
      </c>
      <c r="B57" s="289"/>
      <c r="C57" s="342"/>
      <c r="E57" s="343"/>
      <c r="F57" s="344"/>
      <c r="G57" s="112"/>
    </row>
    <row r="58" spans="1:8" s="302" customFormat="1" ht="17.25">
      <c r="A58" s="345" t="s">
        <v>589</v>
      </c>
      <c r="B58" s="346"/>
      <c r="C58" s="347"/>
      <c r="D58" s="303"/>
      <c r="E58" s="348"/>
      <c r="F58" s="349"/>
      <c r="G58" s="112"/>
    </row>
    <row r="59" spans="1:8" s="302" customFormat="1" ht="17.25">
      <c r="A59" s="345" t="s">
        <v>590</v>
      </c>
      <c r="B59" s="346"/>
      <c r="C59" s="347"/>
      <c r="D59" s="303"/>
      <c r="E59" s="348"/>
      <c r="F59" s="349"/>
      <c r="G59" s="112"/>
    </row>
    <row r="60" spans="1:8" s="302" customFormat="1" ht="17.25">
      <c r="A60" s="345" t="s">
        <v>591</v>
      </c>
      <c r="B60" s="346"/>
      <c r="C60" s="347"/>
      <c r="D60" s="303"/>
      <c r="E60" s="348"/>
      <c r="F60" s="349"/>
      <c r="G60" s="112"/>
    </row>
    <row r="61" spans="1:8" s="302" customFormat="1" ht="17.25">
      <c r="A61" s="345" t="s">
        <v>592</v>
      </c>
      <c r="B61" s="346"/>
      <c r="C61" s="347"/>
      <c r="D61" s="303"/>
      <c r="E61" s="348"/>
      <c r="F61" s="349"/>
      <c r="G61" s="112"/>
    </row>
    <row r="62" spans="1:8" s="302" customFormat="1" ht="17.25">
      <c r="A62" s="345" t="s">
        <v>593</v>
      </c>
      <c r="B62" s="346"/>
      <c r="C62" s="347"/>
      <c r="D62" s="303"/>
      <c r="E62" s="348"/>
      <c r="F62" s="349"/>
      <c r="G62" s="112"/>
    </row>
    <row r="63" spans="1:8" s="302" customFormat="1" ht="17.25">
      <c r="A63" s="345" t="s">
        <v>594</v>
      </c>
      <c r="B63" s="346"/>
      <c r="C63" s="347"/>
      <c r="D63" s="303"/>
      <c r="E63" s="348"/>
      <c r="F63" s="349"/>
      <c r="G63" s="112"/>
    </row>
    <row r="64" spans="1:8" s="302" customFormat="1" ht="17.25">
      <c r="A64" s="345" t="s">
        <v>595</v>
      </c>
      <c r="B64" s="346"/>
      <c r="C64" s="347"/>
      <c r="D64" s="303"/>
      <c r="E64" s="348"/>
      <c r="F64" s="349"/>
      <c r="G64" s="112"/>
    </row>
    <row r="65" spans="1:7" s="302" customFormat="1">
      <c r="A65" s="350" t="s">
        <v>596</v>
      </c>
      <c r="B65" s="346"/>
      <c r="C65" s="347"/>
      <c r="D65" s="303"/>
      <c r="E65" s="348"/>
      <c r="F65" s="349"/>
      <c r="G65" s="112"/>
    </row>
    <row r="66" spans="1:7" s="302" customFormat="1">
      <c r="A66" s="345" t="s">
        <v>597</v>
      </c>
      <c r="B66" s="346"/>
      <c r="C66" s="347"/>
      <c r="D66" s="303"/>
      <c r="E66" s="348"/>
      <c r="F66" s="349"/>
      <c r="G66" s="112"/>
    </row>
    <row r="67" spans="1:7" s="302" customFormat="1">
      <c r="A67" s="288" t="s">
        <v>792</v>
      </c>
      <c r="B67" s="346"/>
      <c r="C67" s="347"/>
      <c r="D67" s="303"/>
      <c r="E67" s="348"/>
      <c r="F67" s="349"/>
      <c r="G67" s="112"/>
    </row>
    <row r="68" spans="1:7" s="302" customFormat="1">
      <c r="A68" s="288" t="s">
        <v>793</v>
      </c>
      <c r="B68" s="346"/>
      <c r="C68" s="347"/>
      <c r="D68" s="303"/>
      <c r="E68" s="348"/>
      <c r="F68" s="349"/>
      <c r="G68" s="112"/>
    </row>
    <row r="69" spans="1:7" s="302" customFormat="1">
      <c r="A69" s="288" t="s">
        <v>794</v>
      </c>
      <c r="B69" s="346"/>
      <c r="C69" s="347"/>
      <c r="D69" s="303"/>
      <c r="E69" s="348"/>
      <c r="F69" s="349"/>
      <c r="G69" s="112"/>
    </row>
    <row r="70" spans="1:7" s="302" customFormat="1">
      <c r="A70" s="342"/>
      <c r="B70" s="342" t="s">
        <v>20</v>
      </c>
      <c r="C70" s="342"/>
      <c r="D70" s="342"/>
      <c r="E70" s="342"/>
      <c r="F70" s="342"/>
      <c r="G70" s="342"/>
    </row>
    <row r="71" spans="1:7" s="302" customFormat="1">
      <c r="A71" s="351"/>
      <c r="B71" s="351"/>
      <c r="C71" s="351"/>
      <c r="D71" s="351"/>
      <c r="E71" s="351"/>
      <c r="F71" s="351"/>
      <c r="G71" s="351"/>
    </row>
    <row r="72" spans="1:7" s="302" customFormat="1">
      <c r="A72" s="351"/>
      <c r="B72" s="351"/>
      <c r="C72" s="351"/>
      <c r="D72" s="351"/>
      <c r="E72" s="351"/>
      <c r="F72" s="351"/>
      <c r="G72" s="351"/>
    </row>
    <row r="73" spans="1:7" s="302" customFormat="1">
      <c r="A73" s="351"/>
      <c r="B73" s="351"/>
      <c r="C73" s="351"/>
      <c r="D73" s="351"/>
      <c r="E73" s="351"/>
      <c r="F73" s="351"/>
      <c r="G73" s="351"/>
    </row>
    <row r="74" spans="1:7" s="302" customFormat="1">
      <c r="A74" s="351"/>
      <c r="B74" s="351"/>
      <c r="C74" s="351"/>
      <c r="D74" s="351"/>
      <c r="E74" s="351"/>
      <c r="F74" s="351"/>
      <c r="G74" s="351"/>
    </row>
    <row r="75" spans="1:7" s="302" customFormat="1">
      <c r="A75" s="351"/>
      <c r="B75" s="351"/>
      <c r="C75" s="351"/>
      <c r="D75" s="351"/>
      <c r="E75" s="351"/>
      <c r="F75" s="351"/>
      <c r="G75" s="351"/>
    </row>
    <row r="76" spans="1:7" s="302" customFormat="1">
      <c r="A76" s="351"/>
      <c r="B76" s="351"/>
      <c r="C76" s="351"/>
      <c r="D76" s="351"/>
      <c r="E76" s="351"/>
      <c r="F76" s="351"/>
      <c r="G76" s="351"/>
    </row>
    <row r="77" spans="1:7" s="302" customFormat="1">
      <c r="A77" s="351"/>
      <c r="B77" s="351"/>
      <c r="C77" s="351"/>
      <c r="D77" s="351"/>
      <c r="E77" s="351"/>
      <c r="F77" s="351"/>
      <c r="G77" s="351"/>
    </row>
    <row r="78" spans="1:7" s="302" customFormat="1">
      <c r="A78" s="351"/>
      <c r="B78" s="351"/>
      <c r="C78" s="351"/>
      <c r="D78" s="351"/>
      <c r="E78" s="351"/>
      <c r="F78" s="351"/>
      <c r="G78" s="351"/>
    </row>
    <row r="79" spans="1:7" s="302" customFormat="1">
      <c r="A79" s="351"/>
      <c r="B79" s="351"/>
      <c r="C79" s="351"/>
      <c r="D79" s="351"/>
      <c r="E79" s="351"/>
      <c r="F79" s="351"/>
      <c r="G79" s="351"/>
    </row>
    <row r="80" spans="1:7" s="302" customFormat="1">
      <c r="A80" s="351"/>
      <c r="B80" s="351"/>
      <c r="C80" s="351"/>
      <c r="D80" s="351"/>
      <c r="E80" s="351"/>
      <c r="F80" s="351"/>
      <c r="G80" s="351"/>
    </row>
    <row r="81" spans="1:7" s="302" customFormat="1">
      <c r="A81" s="351"/>
      <c r="B81" s="351"/>
      <c r="C81" s="351"/>
      <c r="D81" s="351"/>
      <c r="E81" s="351"/>
      <c r="F81" s="351"/>
      <c r="G81" s="351"/>
    </row>
    <row r="82" spans="1:7" s="302" customFormat="1">
      <c r="A82" s="351"/>
      <c r="B82" s="351"/>
      <c r="C82" s="351"/>
      <c r="D82" s="351"/>
      <c r="E82" s="351"/>
      <c r="F82" s="351"/>
      <c r="G82" s="351"/>
    </row>
    <row r="83" spans="1:7" s="302" customFormat="1">
      <c r="A83" s="351"/>
      <c r="B83" s="351"/>
      <c r="C83" s="351"/>
      <c r="D83" s="351"/>
      <c r="E83" s="351"/>
      <c r="F83" s="351"/>
      <c r="G83" s="351"/>
    </row>
    <row r="84" spans="1:7" s="302" customFormat="1">
      <c r="A84" s="351"/>
      <c r="B84" s="351"/>
      <c r="C84" s="351"/>
      <c r="D84" s="351"/>
      <c r="E84" s="351"/>
      <c r="F84" s="351"/>
      <c r="G84" s="351"/>
    </row>
    <row r="85" spans="1:7" s="302" customFormat="1">
      <c r="A85" s="342"/>
      <c r="B85" s="352" t="s">
        <v>2418</v>
      </c>
      <c r="C85" s="352"/>
      <c r="D85" s="352"/>
      <c r="E85" s="352"/>
      <c r="F85" s="352"/>
      <c r="G85" s="352"/>
    </row>
    <row r="86" spans="1:7" s="302" customFormat="1">
      <c r="A86" s="342"/>
      <c r="B86" s="353"/>
      <c r="C86" s="353"/>
      <c r="D86" s="353"/>
      <c r="E86" s="353"/>
      <c r="F86" s="353"/>
      <c r="G86" s="353"/>
    </row>
    <row r="87" spans="1:7" s="302" customFormat="1">
      <c r="A87" s="342"/>
      <c r="B87" s="352" t="s">
        <v>22</v>
      </c>
      <c r="C87" s="352"/>
      <c r="D87" s="352"/>
      <c r="E87" s="352"/>
      <c r="F87" s="352"/>
      <c r="G87" s="352"/>
    </row>
    <row r="88" spans="1:7" s="302" customFormat="1">
      <c r="A88" s="342"/>
      <c r="B88" s="353"/>
      <c r="C88" s="353"/>
      <c r="D88" s="353"/>
      <c r="E88" s="353"/>
      <c r="F88" s="353"/>
      <c r="G88" s="353"/>
    </row>
    <row r="89" spans="1:7" s="302" customFormat="1">
      <c r="A89" s="342"/>
      <c r="B89" s="352" t="s">
        <v>23</v>
      </c>
      <c r="C89" s="352"/>
      <c r="D89" s="352"/>
      <c r="E89" s="352"/>
      <c r="F89" s="352"/>
      <c r="G89" s="352"/>
    </row>
    <row r="90" spans="1:7" s="302" customFormat="1">
      <c r="A90" s="342"/>
      <c r="B90" s="352" t="s">
        <v>24</v>
      </c>
      <c r="C90" s="352"/>
      <c r="D90" s="352"/>
      <c r="E90" s="352"/>
      <c r="F90" s="352"/>
      <c r="G90" s="352"/>
    </row>
    <row r="91" spans="1:7" s="303" customFormat="1">
      <c r="A91" s="346"/>
      <c r="B91" s="346"/>
      <c r="E91" s="333"/>
    </row>
  </sheetData>
  <mergeCells count="31">
    <mergeCell ref="A15:A17"/>
    <mergeCell ref="A1:H1"/>
    <mergeCell ref="A2:H2"/>
    <mergeCell ref="A5:A13"/>
    <mergeCell ref="B5:B13"/>
    <mergeCell ref="C5:C13"/>
    <mergeCell ref="B15:B17"/>
    <mergeCell ref="C15:C17"/>
    <mergeCell ref="B23:B29"/>
    <mergeCell ref="C23:C29"/>
    <mergeCell ref="A19:A21"/>
    <mergeCell ref="A23:A29"/>
    <mergeCell ref="B19:B21"/>
    <mergeCell ref="C19:C21"/>
    <mergeCell ref="A56:C56"/>
    <mergeCell ref="A39:A42"/>
    <mergeCell ref="B39:B42"/>
    <mergeCell ref="C39:C42"/>
    <mergeCell ref="A44:A48"/>
    <mergeCell ref="A55:C55"/>
    <mergeCell ref="A31:A34"/>
    <mergeCell ref="B31:B34"/>
    <mergeCell ref="B50:B53"/>
    <mergeCell ref="C44:C48"/>
    <mergeCell ref="C31:C34"/>
    <mergeCell ref="A36:A37"/>
    <mergeCell ref="B36:B37"/>
    <mergeCell ref="C36:C37"/>
    <mergeCell ref="A50:A53"/>
    <mergeCell ref="C50:C53"/>
    <mergeCell ref="B44:B48"/>
  </mergeCells>
  <phoneticPr fontId="4" type="noConversion"/>
  <pageMargins left="0.7" right="0.7" top="0.75" bottom="0.75" header="0.3" footer="0.3"/>
  <pageSetup paperSize="9" scale="60" orientation="portrait" r:id="rId1"/>
</worksheet>
</file>

<file path=xl/worksheets/sheet3.xml><?xml version="1.0" encoding="utf-8"?>
<worksheet xmlns="http://schemas.openxmlformats.org/spreadsheetml/2006/main" xmlns:r="http://schemas.openxmlformats.org/officeDocument/2006/relationships">
  <dimension ref="A1:H95"/>
  <sheetViews>
    <sheetView zoomScale="80" zoomScaleNormal="80" workbookViewId="0">
      <selection activeCell="B90" sqref="B90"/>
    </sheetView>
  </sheetViews>
  <sheetFormatPr defaultRowHeight="18"/>
  <cols>
    <col min="2" max="2" width="24.85546875" customWidth="1"/>
    <col min="3" max="3" width="11.5703125" customWidth="1"/>
    <col min="4" max="4" width="12.7109375" style="23" customWidth="1"/>
    <col min="5" max="5" width="53.140625" style="23" customWidth="1"/>
    <col min="6" max="6" width="13.5703125" style="23" customWidth="1"/>
    <col min="7" max="7" width="13.42578125" style="379" customWidth="1"/>
    <col min="8" max="8" width="17.42578125" style="380" customWidth="1"/>
    <col min="9" max="16384" width="9.140625" style="356"/>
  </cols>
  <sheetData>
    <row r="1" spans="1:8" ht="80.25" customHeight="1">
      <c r="A1" s="1147" t="s">
        <v>1795</v>
      </c>
      <c r="B1" s="1148"/>
      <c r="C1" s="1148"/>
      <c r="D1" s="1148"/>
      <c r="E1" s="1148"/>
      <c r="F1" s="1148"/>
      <c r="G1" s="1148"/>
      <c r="H1" s="1149"/>
    </row>
    <row r="2" spans="1:8" ht="48.75" customHeight="1">
      <c r="A2" s="631" t="s">
        <v>1443</v>
      </c>
      <c r="B2" s="631" t="s">
        <v>1444</v>
      </c>
      <c r="C2" s="631" t="s">
        <v>1445</v>
      </c>
      <c r="D2" s="796"/>
      <c r="E2" s="631" t="s">
        <v>452</v>
      </c>
      <c r="F2" s="631" t="s">
        <v>1445</v>
      </c>
      <c r="G2" s="630" t="s">
        <v>399</v>
      </c>
      <c r="H2" s="633" t="s">
        <v>1446</v>
      </c>
    </row>
    <row r="3" spans="1:8" ht="54" customHeight="1">
      <c r="A3" s="1144">
        <v>1</v>
      </c>
      <c r="B3" s="1140" t="s">
        <v>60</v>
      </c>
      <c r="C3" s="1143">
        <v>0.17</v>
      </c>
      <c r="D3" s="824">
        <v>1</v>
      </c>
      <c r="E3" s="371" t="s">
        <v>2417</v>
      </c>
      <c r="F3" s="814">
        <v>0.3</v>
      </c>
      <c r="G3" s="824"/>
      <c r="H3" s="798">
        <f>G3*F3</f>
        <v>0</v>
      </c>
    </row>
    <row r="4" spans="1:8" ht="55.5" customHeight="1">
      <c r="A4" s="1145"/>
      <c r="B4" s="1141"/>
      <c r="C4" s="1143"/>
      <c r="D4" s="824">
        <v>2</v>
      </c>
      <c r="E4" s="371" t="s">
        <v>1796</v>
      </c>
      <c r="F4" s="814">
        <v>0.28999999999999998</v>
      </c>
      <c r="G4" s="824"/>
      <c r="H4" s="798">
        <f t="shared" ref="H4:H58" si="0">G4*F4</f>
        <v>0</v>
      </c>
    </row>
    <row r="5" spans="1:8" ht="51.75" customHeight="1">
      <c r="A5" s="1145"/>
      <c r="B5" s="1141"/>
      <c r="C5" s="1143"/>
      <c r="D5" s="824">
        <v>3</v>
      </c>
      <c r="E5" s="933" t="s">
        <v>1797</v>
      </c>
      <c r="F5" s="814">
        <v>0.11</v>
      </c>
      <c r="G5" s="824"/>
      <c r="H5" s="798">
        <f t="shared" si="0"/>
        <v>0</v>
      </c>
    </row>
    <row r="6" spans="1:8" ht="106.5" customHeight="1">
      <c r="A6" s="1145"/>
      <c r="B6" s="1141"/>
      <c r="C6" s="1143"/>
      <c r="D6" s="824">
        <v>4</v>
      </c>
      <c r="E6" s="371" t="s">
        <v>1798</v>
      </c>
      <c r="F6" s="814">
        <v>0.3</v>
      </c>
      <c r="G6" s="824"/>
      <c r="H6" s="798">
        <f t="shared" si="0"/>
        <v>0</v>
      </c>
    </row>
    <row r="7" spans="1:8" ht="18.75">
      <c r="A7" s="1146"/>
      <c r="B7" s="1142"/>
      <c r="C7" s="1143"/>
      <c r="D7" s="824"/>
      <c r="E7" s="371"/>
      <c r="F7" s="811">
        <f>SUM(F3:F6)</f>
        <v>1</v>
      </c>
      <c r="G7" s="825"/>
      <c r="H7" s="805">
        <f>SUM(H3:H6)*C3</f>
        <v>0</v>
      </c>
    </row>
    <row r="8" spans="1:8" ht="33.75" customHeight="1">
      <c r="A8" s="1144">
        <v>2</v>
      </c>
      <c r="B8" s="1140" t="s">
        <v>83</v>
      </c>
      <c r="C8" s="1143">
        <v>0.04</v>
      </c>
      <c r="D8" s="824">
        <v>1</v>
      </c>
      <c r="E8" s="371" t="s">
        <v>1799</v>
      </c>
      <c r="F8" s="819">
        <v>0.46</v>
      </c>
      <c r="G8" s="824"/>
      <c r="H8" s="807">
        <f t="shared" si="0"/>
        <v>0</v>
      </c>
    </row>
    <row r="9" spans="1:8" ht="218.25" customHeight="1">
      <c r="A9" s="1145"/>
      <c r="B9" s="1141"/>
      <c r="C9" s="1143"/>
      <c r="D9" s="824">
        <v>2</v>
      </c>
      <c r="E9" s="934" t="s">
        <v>1800</v>
      </c>
      <c r="F9" s="814">
        <v>0.54</v>
      </c>
      <c r="G9" s="824"/>
      <c r="H9" s="798">
        <f t="shared" si="0"/>
        <v>0</v>
      </c>
    </row>
    <row r="10" spans="1:8" ht="18.75">
      <c r="A10" s="1146"/>
      <c r="B10" s="1142"/>
      <c r="C10" s="1143"/>
      <c r="D10" s="824"/>
      <c r="E10" s="371"/>
      <c r="F10" s="811">
        <f>SUM(F8:F9)</f>
        <v>1</v>
      </c>
      <c r="G10" s="825"/>
      <c r="H10" s="805">
        <f>SUM(H8:H9)*C8</f>
        <v>0</v>
      </c>
    </row>
    <row r="11" spans="1:8" ht="53.25" customHeight="1">
      <c r="A11" s="1144">
        <v>3</v>
      </c>
      <c r="B11" s="1140" t="s">
        <v>1801</v>
      </c>
      <c r="C11" s="1143">
        <v>0.09</v>
      </c>
      <c r="D11" s="824">
        <v>1</v>
      </c>
      <c r="E11" s="935" t="s">
        <v>1802</v>
      </c>
      <c r="F11" s="814">
        <v>0.28000000000000003</v>
      </c>
      <c r="G11" s="824"/>
      <c r="H11" s="798">
        <f t="shared" si="0"/>
        <v>0</v>
      </c>
    </row>
    <row r="12" spans="1:8" ht="38.25" customHeight="1">
      <c r="A12" s="1145"/>
      <c r="B12" s="1141"/>
      <c r="C12" s="1143"/>
      <c r="D12" s="824">
        <v>2</v>
      </c>
      <c r="E12" s="371" t="s">
        <v>1803</v>
      </c>
      <c r="F12" s="814">
        <v>0.38</v>
      </c>
      <c r="G12" s="824"/>
      <c r="H12" s="798">
        <f t="shared" si="0"/>
        <v>0</v>
      </c>
    </row>
    <row r="13" spans="1:8" ht="39.75" customHeight="1">
      <c r="A13" s="1145"/>
      <c r="B13" s="1141"/>
      <c r="C13" s="1143"/>
      <c r="D13" s="824">
        <v>3</v>
      </c>
      <c r="E13" s="827" t="s">
        <v>1804</v>
      </c>
      <c r="F13" s="814">
        <v>0.34</v>
      </c>
      <c r="G13" s="824"/>
      <c r="H13" s="798">
        <f t="shared" si="0"/>
        <v>0</v>
      </c>
    </row>
    <row r="14" spans="1:8" ht="18.75">
      <c r="A14" s="1146"/>
      <c r="B14" s="1142"/>
      <c r="C14" s="1143"/>
      <c r="D14" s="824"/>
      <c r="E14" s="827"/>
      <c r="F14" s="811">
        <f>SUM(F11:F13)</f>
        <v>1</v>
      </c>
      <c r="G14" s="825"/>
      <c r="H14" s="805">
        <f>SUM(H11:H13)*C11</f>
        <v>0</v>
      </c>
    </row>
    <row r="15" spans="1:8" ht="33">
      <c r="A15" s="1144">
        <v>4</v>
      </c>
      <c r="B15" s="1140" t="s">
        <v>1805</v>
      </c>
      <c r="C15" s="1143">
        <v>0.04</v>
      </c>
      <c r="D15" s="824">
        <v>1</v>
      </c>
      <c r="E15" s="371" t="s">
        <v>1806</v>
      </c>
      <c r="F15" s="814">
        <v>0.43</v>
      </c>
      <c r="G15" s="824"/>
      <c r="H15" s="798">
        <f t="shared" si="0"/>
        <v>0</v>
      </c>
    </row>
    <row r="16" spans="1:8" ht="33">
      <c r="A16" s="1145"/>
      <c r="B16" s="1141"/>
      <c r="C16" s="1143"/>
      <c r="D16" s="824">
        <v>2</v>
      </c>
      <c r="E16" s="827" t="s">
        <v>1807</v>
      </c>
      <c r="F16" s="814">
        <v>0.56999999999999995</v>
      </c>
      <c r="G16" s="824"/>
      <c r="H16" s="798">
        <f t="shared" si="0"/>
        <v>0</v>
      </c>
    </row>
    <row r="17" spans="1:8" ht="18.75">
      <c r="A17" s="1146"/>
      <c r="B17" s="1142"/>
      <c r="C17" s="1143"/>
      <c r="D17" s="824"/>
      <c r="E17" s="936"/>
      <c r="F17" s="811">
        <f>SUM(F15:F16)</f>
        <v>1</v>
      </c>
      <c r="G17" s="825"/>
      <c r="H17" s="805">
        <f>SUM(H15:H16)*C15</f>
        <v>0</v>
      </c>
    </row>
    <row r="18" spans="1:8" ht="89.25" customHeight="1">
      <c r="A18" s="1144">
        <v>5</v>
      </c>
      <c r="B18" s="1143" t="s">
        <v>1808</v>
      </c>
      <c r="C18" s="1143">
        <v>0.14000000000000001</v>
      </c>
      <c r="D18" s="824">
        <v>1</v>
      </c>
      <c r="E18" s="937" t="s">
        <v>1809</v>
      </c>
      <c r="F18" s="814">
        <v>0.14000000000000001</v>
      </c>
      <c r="G18" s="824"/>
      <c r="H18" s="798">
        <f t="shared" si="0"/>
        <v>0</v>
      </c>
    </row>
    <row r="19" spans="1:8" ht="33">
      <c r="A19" s="1145"/>
      <c r="B19" s="1143"/>
      <c r="C19" s="1143"/>
      <c r="D19" s="824">
        <v>2</v>
      </c>
      <c r="E19" s="938" t="s">
        <v>1810</v>
      </c>
      <c r="F19" s="814">
        <v>0.1</v>
      </c>
      <c r="G19" s="824"/>
      <c r="H19" s="798">
        <f t="shared" si="0"/>
        <v>0</v>
      </c>
    </row>
    <row r="20" spans="1:8" ht="49.5" customHeight="1">
      <c r="A20" s="1145"/>
      <c r="B20" s="1143"/>
      <c r="C20" s="1143"/>
      <c r="D20" s="824">
        <v>3</v>
      </c>
      <c r="E20" s="939" t="s">
        <v>1811</v>
      </c>
      <c r="F20" s="814">
        <v>0.21</v>
      </c>
      <c r="G20" s="824"/>
      <c r="H20" s="798">
        <f t="shared" si="0"/>
        <v>0</v>
      </c>
    </row>
    <row r="21" spans="1:8" ht="55.5" customHeight="1">
      <c r="A21" s="1145"/>
      <c r="B21" s="1143"/>
      <c r="C21" s="1143"/>
      <c r="D21" s="824">
        <v>4</v>
      </c>
      <c r="E21" s="371" t="s">
        <v>1812</v>
      </c>
      <c r="F21" s="814">
        <v>0.14000000000000001</v>
      </c>
      <c r="G21" s="824"/>
      <c r="H21" s="798">
        <f t="shared" si="0"/>
        <v>0</v>
      </c>
    </row>
    <row r="22" spans="1:8" ht="40.5" customHeight="1">
      <c r="A22" s="1145"/>
      <c r="B22" s="1143"/>
      <c r="C22" s="1143"/>
      <c r="D22" s="824">
        <v>5</v>
      </c>
      <c r="E22" s="371" t="s">
        <v>1813</v>
      </c>
      <c r="F22" s="814">
        <v>0.16</v>
      </c>
      <c r="G22" s="824"/>
      <c r="H22" s="798">
        <f t="shared" si="0"/>
        <v>0</v>
      </c>
    </row>
    <row r="23" spans="1:8" ht="69" customHeight="1">
      <c r="A23" s="1145"/>
      <c r="B23" s="1143"/>
      <c r="C23" s="1143"/>
      <c r="D23" s="824">
        <v>6</v>
      </c>
      <c r="E23" s="371" t="s">
        <v>1814</v>
      </c>
      <c r="F23" s="814">
        <v>0.15</v>
      </c>
      <c r="G23" s="824"/>
      <c r="H23" s="798">
        <f t="shared" si="0"/>
        <v>0</v>
      </c>
    </row>
    <row r="24" spans="1:8" ht="49.5">
      <c r="A24" s="1145"/>
      <c r="B24" s="1143"/>
      <c r="C24" s="1143"/>
      <c r="D24" s="824">
        <v>7</v>
      </c>
      <c r="E24" s="940" t="s">
        <v>1815</v>
      </c>
      <c r="F24" s="814">
        <v>0.06</v>
      </c>
      <c r="G24" s="824"/>
      <c r="H24" s="798">
        <f t="shared" si="0"/>
        <v>0</v>
      </c>
    </row>
    <row r="25" spans="1:8" ht="66" customHeight="1">
      <c r="A25" s="1145"/>
      <c r="B25" s="1143"/>
      <c r="C25" s="1143"/>
      <c r="D25" s="824">
        <v>8</v>
      </c>
      <c r="E25" s="935" t="s">
        <v>1816</v>
      </c>
      <c r="F25" s="814">
        <v>0.04</v>
      </c>
      <c r="G25" s="824"/>
      <c r="H25" s="798">
        <f t="shared" si="0"/>
        <v>0</v>
      </c>
    </row>
    <row r="26" spans="1:8" ht="18.75">
      <c r="A26" s="1146"/>
      <c r="B26" s="1143"/>
      <c r="C26" s="1143"/>
      <c r="D26" s="824"/>
      <c r="E26" s="371"/>
      <c r="F26" s="811">
        <f>SUM(F18:F25)</f>
        <v>1.0000000000000002</v>
      </c>
      <c r="G26" s="825"/>
      <c r="H26" s="805">
        <f>SUM(H18:H25)*C18</f>
        <v>0</v>
      </c>
    </row>
    <row r="27" spans="1:8" ht="35.25" customHeight="1">
      <c r="A27" s="1144">
        <v>6</v>
      </c>
      <c r="B27" s="1140" t="s">
        <v>1817</v>
      </c>
      <c r="C27" s="1143">
        <v>0.17</v>
      </c>
      <c r="D27" s="824">
        <v>1</v>
      </c>
      <c r="E27" s="941" t="s">
        <v>1818</v>
      </c>
      <c r="F27" s="814">
        <v>0.04</v>
      </c>
      <c r="G27" s="824"/>
      <c r="H27" s="798">
        <f t="shared" si="0"/>
        <v>0</v>
      </c>
    </row>
    <row r="28" spans="1:8" ht="33">
      <c r="A28" s="1145"/>
      <c r="B28" s="1141"/>
      <c r="C28" s="1143"/>
      <c r="D28" s="824">
        <v>2</v>
      </c>
      <c r="E28" s="371" t="s">
        <v>1819</v>
      </c>
      <c r="F28" s="814">
        <v>7.0000000000000007E-2</v>
      </c>
      <c r="G28" s="824"/>
      <c r="H28" s="798">
        <f t="shared" si="0"/>
        <v>0</v>
      </c>
    </row>
    <row r="29" spans="1:8" ht="33">
      <c r="A29" s="1145"/>
      <c r="B29" s="1141"/>
      <c r="C29" s="1143"/>
      <c r="D29" s="824">
        <v>3</v>
      </c>
      <c r="E29" s="371" t="s">
        <v>1820</v>
      </c>
      <c r="F29" s="814">
        <v>0.06</v>
      </c>
      <c r="G29" s="824"/>
      <c r="H29" s="798">
        <f t="shared" si="0"/>
        <v>0</v>
      </c>
    </row>
    <row r="30" spans="1:8" ht="33">
      <c r="A30" s="1145"/>
      <c r="B30" s="1141"/>
      <c r="C30" s="1143"/>
      <c r="D30" s="824">
        <v>4</v>
      </c>
      <c r="E30" s="371" t="s">
        <v>1821</v>
      </c>
      <c r="F30" s="814">
        <v>0.05</v>
      </c>
      <c r="G30" s="824"/>
      <c r="H30" s="798">
        <f t="shared" si="0"/>
        <v>0</v>
      </c>
    </row>
    <row r="31" spans="1:8" ht="33">
      <c r="A31" s="1145"/>
      <c r="B31" s="1141"/>
      <c r="C31" s="1143"/>
      <c r="D31" s="824">
        <v>5</v>
      </c>
      <c r="E31" s="371" t="s">
        <v>1822</v>
      </c>
      <c r="F31" s="814">
        <v>0.06</v>
      </c>
      <c r="G31" s="824"/>
      <c r="H31" s="798">
        <f t="shared" si="0"/>
        <v>0</v>
      </c>
    </row>
    <row r="32" spans="1:8" ht="36" customHeight="1">
      <c r="A32" s="1145"/>
      <c r="B32" s="1141"/>
      <c r="C32" s="1143"/>
      <c r="D32" s="824">
        <v>6</v>
      </c>
      <c r="E32" s="371" t="s">
        <v>1823</v>
      </c>
      <c r="F32" s="814">
        <v>0.05</v>
      </c>
      <c r="G32" s="824"/>
      <c r="H32" s="798">
        <f t="shared" si="0"/>
        <v>0</v>
      </c>
    </row>
    <row r="33" spans="1:8" ht="40.5" customHeight="1">
      <c r="A33" s="1145"/>
      <c r="B33" s="1141"/>
      <c r="C33" s="1143"/>
      <c r="D33" s="824">
        <v>7</v>
      </c>
      <c r="E33" s="371" t="s">
        <v>1824</v>
      </c>
      <c r="F33" s="814">
        <v>0.05</v>
      </c>
      <c r="G33" s="824"/>
      <c r="H33" s="798">
        <f t="shared" si="0"/>
        <v>0</v>
      </c>
    </row>
    <row r="34" spans="1:8" ht="33">
      <c r="A34" s="1145"/>
      <c r="B34" s="1141"/>
      <c r="C34" s="1143"/>
      <c r="D34" s="824">
        <v>8</v>
      </c>
      <c r="E34" s="941" t="s">
        <v>1825</v>
      </c>
      <c r="F34" s="814">
        <v>0.06</v>
      </c>
      <c r="G34" s="824"/>
      <c r="H34" s="798">
        <f t="shared" si="0"/>
        <v>0</v>
      </c>
    </row>
    <row r="35" spans="1:8" ht="32.25" customHeight="1">
      <c r="A35" s="1145"/>
      <c r="B35" s="1141"/>
      <c r="C35" s="1143"/>
      <c r="D35" s="824">
        <v>9</v>
      </c>
      <c r="E35" s="827" t="s">
        <v>1826</v>
      </c>
      <c r="F35" s="814">
        <v>0.05</v>
      </c>
      <c r="G35" s="824"/>
      <c r="H35" s="798">
        <f t="shared" si="0"/>
        <v>0</v>
      </c>
    </row>
    <row r="36" spans="1:8" ht="49.5">
      <c r="A36" s="1145"/>
      <c r="B36" s="1141"/>
      <c r="C36" s="1143"/>
      <c r="D36" s="824">
        <v>10</v>
      </c>
      <c r="E36" s="827" t="s">
        <v>1827</v>
      </c>
      <c r="F36" s="814">
        <v>0.05</v>
      </c>
      <c r="G36" s="824"/>
      <c r="H36" s="798">
        <f t="shared" si="0"/>
        <v>0</v>
      </c>
    </row>
    <row r="37" spans="1:8" ht="38.25" customHeight="1">
      <c r="A37" s="1145"/>
      <c r="B37" s="1141"/>
      <c r="C37" s="1143"/>
      <c r="D37" s="824">
        <v>11</v>
      </c>
      <c r="E37" s="371" t="s">
        <v>1828</v>
      </c>
      <c r="F37" s="814">
        <v>0.05</v>
      </c>
      <c r="G37" s="824"/>
      <c r="H37" s="798">
        <f t="shared" si="0"/>
        <v>0</v>
      </c>
    </row>
    <row r="38" spans="1:8" ht="51.75" customHeight="1">
      <c r="A38" s="1145"/>
      <c r="B38" s="1141"/>
      <c r="C38" s="1143"/>
      <c r="D38" s="824">
        <v>12</v>
      </c>
      <c r="E38" s="371" t="s">
        <v>1829</v>
      </c>
      <c r="F38" s="814">
        <v>0.05</v>
      </c>
      <c r="G38" s="824"/>
      <c r="H38" s="798">
        <f t="shared" si="0"/>
        <v>0</v>
      </c>
    </row>
    <row r="39" spans="1:8" ht="36" customHeight="1">
      <c r="A39" s="1145"/>
      <c r="B39" s="1141"/>
      <c r="C39" s="1143"/>
      <c r="D39" s="824">
        <v>13</v>
      </c>
      <c r="E39" s="827" t="s">
        <v>2400</v>
      </c>
      <c r="F39" s="814">
        <v>0.05</v>
      </c>
      <c r="G39" s="824"/>
      <c r="H39" s="798">
        <f t="shared" si="0"/>
        <v>0</v>
      </c>
    </row>
    <row r="40" spans="1:8" ht="33">
      <c r="A40" s="1145"/>
      <c r="B40" s="1141"/>
      <c r="C40" s="1143"/>
      <c r="D40" s="824">
        <v>14</v>
      </c>
      <c r="E40" s="942" t="s">
        <v>2401</v>
      </c>
      <c r="F40" s="814">
        <v>7.0000000000000007E-2</v>
      </c>
      <c r="G40" s="824"/>
      <c r="H40" s="798">
        <f t="shared" si="0"/>
        <v>0</v>
      </c>
    </row>
    <row r="41" spans="1:8" ht="33">
      <c r="A41" s="1145"/>
      <c r="B41" s="1141"/>
      <c r="C41" s="1143"/>
      <c r="D41" s="824">
        <v>15</v>
      </c>
      <c r="E41" s="371" t="s">
        <v>2402</v>
      </c>
      <c r="F41" s="814">
        <v>7.0000000000000007E-2</v>
      </c>
      <c r="G41" s="824"/>
      <c r="H41" s="798">
        <f t="shared" si="0"/>
        <v>0</v>
      </c>
    </row>
    <row r="42" spans="1:8" ht="38.25" customHeight="1">
      <c r="A42" s="1145"/>
      <c r="B42" s="1141"/>
      <c r="C42" s="1143"/>
      <c r="D42" s="824">
        <v>16</v>
      </c>
      <c r="E42" s="371" t="s">
        <v>2403</v>
      </c>
      <c r="F42" s="814">
        <v>0.05</v>
      </c>
      <c r="G42" s="824"/>
      <c r="H42" s="798">
        <f t="shared" si="0"/>
        <v>0</v>
      </c>
    </row>
    <row r="43" spans="1:8" ht="49.5">
      <c r="A43" s="1145"/>
      <c r="B43" s="1141"/>
      <c r="C43" s="1143"/>
      <c r="D43" s="824">
        <v>17</v>
      </c>
      <c r="E43" s="371" t="s">
        <v>2404</v>
      </c>
      <c r="F43" s="814">
        <v>7.0000000000000007E-2</v>
      </c>
      <c r="G43" s="824"/>
      <c r="H43" s="798">
        <f t="shared" si="0"/>
        <v>0</v>
      </c>
    </row>
    <row r="44" spans="1:8" ht="66">
      <c r="A44" s="1145"/>
      <c r="B44" s="1141"/>
      <c r="C44" s="1143"/>
      <c r="D44" s="824">
        <v>18</v>
      </c>
      <c r="E44" s="943" t="s">
        <v>2405</v>
      </c>
      <c r="F44" s="814">
        <v>0.05</v>
      </c>
      <c r="G44" s="824"/>
      <c r="H44" s="798">
        <f t="shared" si="0"/>
        <v>0</v>
      </c>
    </row>
    <row r="45" spans="1:8" ht="18.75">
      <c r="A45" s="1146"/>
      <c r="B45" s="1142"/>
      <c r="C45" s="1143"/>
      <c r="D45" s="824"/>
      <c r="E45" s="371"/>
      <c r="F45" s="811">
        <f>SUM(F27:F44)</f>
        <v>1.0000000000000004</v>
      </c>
      <c r="G45" s="825"/>
      <c r="H45" s="805">
        <f>SUM(H27:H44)*C27</f>
        <v>0</v>
      </c>
    </row>
    <row r="46" spans="1:8" ht="71.25" customHeight="1">
      <c r="A46" s="1144">
        <v>7</v>
      </c>
      <c r="B46" s="1140" t="s">
        <v>2406</v>
      </c>
      <c r="C46" s="1143">
        <v>0.12</v>
      </c>
      <c r="D46" s="824">
        <v>1</v>
      </c>
      <c r="E46" s="371" t="s">
        <v>2407</v>
      </c>
      <c r="F46" s="814">
        <v>0.45</v>
      </c>
      <c r="G46" s="824"/>
      <c r="H46" s="798">
        <f t="shared" si="0"/>
        <v>0</v>
      </c>
    </row>
    <row r="47" spans="1:8" ht="54.75" customHeight="1">
      <c r="A47" s="1145"/>
      <c r="B47" s="1141"/>
      <c r="C47" s="1143"/>
      <c r="D47" s="824">
        <v>2</v>
      </c>
      <c r="E47" s="371" t="s">
        <v>2408</v>
      </c>
      <c r="F47" s="814">
        <v>0.3</v>
      </c>
      <c r="G47" s="824"/>
      <c r="H47" s="798">
        <f t="shared" si="0"/>
        <v>0</v>
      </c>
    </row>
    <row r="48" spans="1:8" ht="34.5" customHeight="1">
      <c r="A48" s="1145"/>
      <c r="B48" s="1141"/>
      <c r="C48" s="1143"/>
      <c r="D48" s="824">
        <v>3</v>
      </c>
      <c r="E48" s="371" t="s">
        <v>2409</v>
      </c>
      <c r="F48" s="814">
        <v>0.25</v>
      </c>
      <c r="G48" s="824"/>
      <c r="H48" s="798">
        <f t="shared" si="0"/>
        <v>0</v>
      </c>
    </row>
    <row r="49" spans="1:8" ht="18.75">
      <c r="A49" s="1146"/>
      <c r="B49" s="1142"/>
      <c r="C49" s="1143"/>
      <c r="D49" s="824"/>
      <c r="E49" s="944"/>
      <c r="F49" s="811">
        <f>SUM(F46:F48)</f>
        <v>1</v>
      </c>
      <c r="G49" s="825"/>
      <c r="H49" s="805">
        <f>SUM(H46:H48)*C46</f>
        <v>0</v>
      </c>
    </row>
    <row r="50" spans="1:8" ht="39.75" customHeight="1">
      <c r="A50" s="1137">
        <v>8</v>
      </c>
      <c r="B50" s="1143" t="s">
        <v>72</v>
      </c>
      <c r="C50" s="1143">
        <v>0.12</v>
      </c>
      <c r="D50" s="945">
        <v>1</v>
      </c>
      <c r="E50" s="371" t="s">
        <v>2410</v>
      </c>
      <c r="F50" s="814">
        <v>0.27</v>
      </c>
      <c r="G50" s="824"/>
      <c r="H50" s="798">
        <f t="shared" si="0"/>
        <v>0</v>
      </c>
    </row>
    <row r="51" spans="1:8" ht="58.5" customHeight="1">
      <c r="A51" s="1138"/>
      <c r="B51" s="1143"/>
      <c r="C51" s="1143"/>
      <c r="D51" s="945">
        <v>2</v>
      </c>
      <c r="E51" s="946" t="s">
        <v>2411</v>
      </c>
      <c r="F51" s="814">
        <v>0.31</v>
      </c>
      <c r="G51" s="824"/>
      <c r="H51" s="798">
        <f t="shared" si="0"/>
        <v>0</v>
      </c>
    </row>
    <row r="52" spans="1:8" ht="70.5" customHeight="1">
      <c r="A52" s="1138"/>
      <c r="B52" s="1143"/>
      <c r="C52" s="1143"/>
      <c r="D52" s="824">
        <v>3</v>
      </c>
      <c r="E52" s="935" t="s">
        <v>2412</v>
      </c>
      <c r="F52" s="814">
        <v>0.42</v>
      </c>
      <c r="G52" s="824"/>
      <c r="H52" s="798">
        <f t="shared" si="0"/>
        <v>0</v>
      </c>
    </row>
    <row r="53" spans="1:8" ht="24.75" customHeight="1">
      <c r="A53" s="1139"/>
      <c r="B53" s="1143"/>
      <c r="C53" s="1143"/>
      <c r="D53" s="824"/>
      <c r="E53" s="371"/>
      <c r="F53" s="811">
        <f>SUM(F50:F52)</f>
        <v>1</v>
      </c>
      <c r="G53" s="825"/>
      <c r="H53" s="805">
        <f>SUM(H50:H52)*C50</f>
        <v>0</v>
      </c>
    </row>
    <row r="54" spans="1:8" ht="101.25" customHeight="1">
      <c r="A54" s="1144">
        <v>9</v>
      </c>
      <c r="B54" s="1140" t="s">
        <v>418</v>
      </c>
      <c r="C54" s="1143">
        <v>0.12</v>
      </c>
      <c r="D54" s="824">
        <v>1</v>
      </c>
      <c r="E54" s="935" t="s">
        <v>2413</v>
      </c>
      <c r="F54" s="814">
        <v>0.21</v>
      </c>
      <c r="G54" s="824"/>
      <c r="H54" s="798">
        <f t="shared" si="0"/>
        <v>0</v>
      </c>
    </row>
    <row r="55" spans="1:8" ht="66.75" customHeight="1">
      <c r="A55" s="1145"/>
      <c r="B55" s="1141"/>
      <c r="C55" s="1143"/>
      <c r="D55" s="824">
        <v>2</v>
      </c>
      <c r="E55" s="947" t="s">
        <v>2414</v>
      </c>
      <c r="F55" s="814">
        <v>0.23</v>
      </c>
      <c r="G55" s="824"/>
      <c r="H55" s="798">
        <f t="shared" si="0"/>
        <v>0</v>
      </c>
    </row>
    <row r="56" spans="1:8" ht="34.5" customHeight="1">
      <c r="A56" s="1145"/>
      <c r="B56" s="1141"/>
      <c r="C56" s="1143"/>
      <c r="D56" s="824">
        <v>3</v>
      </c>
      <c r="E56" s="947" t="s">
        <v>416</v>
      </c>
      <c r="F56" s="814">
        <v>0.21</v>
      </c>
      <c r="G56" s="824"/>
      <c r="H56" s="798">
        <f t="shared" si="0"/>
        <v>0</v>
      </c>
    </row>
    <row r="57" spans="1:8" ht="49.5">
      <c r="A57" s="1145"/>
      <c r="B57" s="1141"/>
      <c r="C57" s="1143"/>
      <c r="D57" s="824">
        <v>4</v>
      </c>
      <c r="E57" s="948" t="s">
        <v>2415</v>
      </c>
      <c r="F57" s="814">
        <v>0.23</v>
      </c>
      <c r="G57" s="824"/>
      <c r="H57" s="798">
        <f t="shared" si="0"/>
        <v>0</v>
      </c>
    </row>
    <row r="58" spans="1:8" ht="33">
      <c r="A58" s="1145"/>
      <c r="B58" s="1141"/>
      <c r="C58" s="1143"/>
      <c r="D58" s="824">
        <v>5</v>
      </c>
      <c r="E58" s="947" t="s">
        <v>2416</v>
      </c>
      <c r="F58" s="814">
        <v>0.12</v>
      </c>
      <c r="G58" s="832"/>
      <c r="H58" s="798">
        <f t="shared" si="0"/>
        <v>0</v>
      </c>
    </row>
    <row r="59" spans="1:8" ht="18.75">
      <c r="A59" s="1146"/>
      <c r="B59" s="1142"/>
      <c r="C59" s="1143"/>
      <c r="D59" s="949"/>
      <c r="E59" s="371"/>
      <c r="F59" s="950">
        <f>SUM(F54:F58)</f>
        <v>1</v>
      </c>
      <c r="G59" s="951"/>
      <c r="H59" s="811">
        <f>SUM(H54:H58)*C54</f>
        <v>0</v>
      </c>
    </row>
    <row r="60" spans="1:8" ht="23.25" customHeight="1">
      <c r="A60" s="1136">
        <v>13</v>
      </c>
      <c r="B60" s="1136"/>
      <c r="C60" s="1136"/>
      <c r="D60" s="1136"/>
      <c r="E60" s="1136"/>
      <c r="F60" s="1136"/>
      <c r="G60" s="952"/>
      <c r="H60" s="819">
        <f>H7+H10+H14+H17+H26+H45+H49+H53+H59</f>
        <v>0</v>
      </c>
    </row>
    <row r="61" spans="1:8" ht="26.25" customHeight="1">
      <c r="A61" s="1136" t="s">
        <v>444</v>
      </c>
      <c r="B61" s="1136"/>
      <c r="C61" s="1136"/>
      <c r="D61" s="1136"/>
      <c r="E61" s="1136"/>
      <c r="F61" s="1136"/>
      <c r="G61" s="952"/>
      <c r="H61" s="953" t="str">
        <f>IF(H60&lt;=0.65,"низький",IF(H60&lt;=0.75,"середній",IF(H60&lt;=0.95,"достатній","високий")))</f>
        <v>низький</v>
      </c>
    </row>
    <row r="62" spans="1:8" s="302" customFormat="1" ht="15.75">
      <c r="A62" s="288" t="s">
        <v>182</v>
      </c>
      <c r="B62" s="289"/>
      <c r="C62" s="342"/>
      <c r="E62" s="343"/>
      <c r="F62" s="344"/>
      <c r="G62" s="112"/>
    </row>
    <row r="63" spans="1:8" s="302" customFormat="1" ht="17.25">
      <c r="A63" s="345" t="s">
        <v>589</v>
      </c>
      <c r="B63" s="346"/>
      <c r="C63" s="347"/>
      <c r="D63" s="303"/>
      <c r="E63" s="348"/>
      <c r="F63" s="349"/>
      <c r="G63" s="112"/>
    </row>
    <row r="64" spans="1:8" s="302" customFormat="1" ht="17.25">
      <c r="A64" s="345" t="s">
        <v>590</v>
      </c>
      <c r="B64" s="346"/>
      <c r="C64" s="347"/>
      <c r="D64" s="303"/>
      <c r="E64" s="348"/>
      <c r="F64" s="349"/>
      <c r="G64" s="112"/>
    </row>
    <row r="65" spans="1:7" s="302" customFormat="1" ht="17.25">
      <c r="A65" s="345" t="s">
        <v>591</v>
      </c>
      <c r="B65" s="346"/>
      <c r="C65" s="347"/>
      <c r="D65" s="303"/>
      <c r="E65" s="348"/>
      <c r="F65" s="349"/>
      <c r="G65" s="112"/>
    </row>
    <row r="66" spans="1:7" s="302" customFormat="1" ht="17.25">
      <c r="A66" s="345" t="s">
        <v>592</v>
      </c>
      <c r="B66" s="346"/>
      <c r="C66" s="347"/>
      <c r="D66" s="303"/>
      <c r="E66" s="348"/>
      <c r="F66" s="349"/>
      <c r="G66" s="112"/>
    </row>
    <row r="67" spans="1:7" s="302" customFormat="1" ht="17.25">
      <c r="A67" s="345" t="s">
        <v>593</v>
      </c>
      <c r="B67" s="346"/>
      <c r="C67" s="347"/>
      <c r="D67" s="303"/>
      <c r="E67" s="348"/>
      <c r="F67" s="349"/>
      <c r="G67" s="112"/>
    </row>
    <row r="68" spans="1:7" s="302" customFormat="1" ht="17.25">
      <c r="A68" s="345" t="s">
        <v>594</v>
      </c>
      <c r="B68" s="346"/>
      <c r="C68" s="347"/>
      <c r="D68" s="303"/>
      <c r="E68" s="348"/>
      <c r="F68" s="349"/>
      <c r="G68" s="112"/>
    </row>
    <row r="69" spans="1:7" s="302" customFormat="1" ht="17.25">
      <c r="A69" s="345" t="s">
        <v>595</v>
      </c>
      <c r="B69" s="346"/>
      <c r="C69" s="347"/>
      <c r="D69" s="303"/>
      <c r="E69" s="348"/>
      <c r="F69" s="349"/>
      <c r="G69" s="112"/>
    </row>
    <row r="70" spans="1:7" s="302" customFormat="1" ht="15.75">
      <c r="A70" s="350" t="s">
        <v>596</v>
      </c>
      <c r="B70" s="346"/>
      <c r="C70" s="347"/>
      <c r="D70" s="303"/>
      <c r="E70" s="348"/>
      <c r="F70" s="349"/>
      <c r="G70" s="112"/>
    </row>
    <row r="71" spans="1:7" s="302" customFormat="1" ht="15.75">
      <c r="A71" s="345" t="s">
        <v>597</v>
      </c>
      <c r="B71" s="346"/>
      <c r="C71" s="347"/>
      <c r="D71" s="303"/>
      <c r="E71" s="348"/>
      <c r="F71" s="349"/>
      <c r="G71" s="112"/>
    </row>
    <row r="72" spans="1:7" s="302" customFormat="1" ht="15.75">
      <c r="A72" s="288" t="s">
        <v>792</v>
      </c>
      <c r="B72" s="346"/>
      <c r="C72" s="347"/>
      <c r="D72" s="303"/>
      <c r="E72" s="348"/>
      <c r="F72" s="349"/>
      <c r="G72" s="112"/>
    </row>
    <row r="73" spans="1:7" s="302" customFormat="1" ht="15.75">
      <c r="A73" s="288" t="s">
        <v>793</v>
      </c>
      <c r="B73" s="346"/>
      <c r="C73" s="347"/>
      <c r="D73" s="303"/>
      <c r="E73" s="348"/>
      <c r="F73" s="349"/>
      <c r="G73" s="112"/>
    </row>
    <row r="74" spans="1:7" s="302" customFormat="1" ht="15.75">
      <c r="A74" s="288" t="s">
        <v>794</v>
      </c>
      <c r="B74" s="346"/>
      <c r="C74" s="347"/>
      <c r="D74" s="303"/>
      <c r="E74" s="348"/>
      <c r="F74" s="349"/>
      <c r="G74" s="112"/>
    </row>
    <row r="75" spans="1:7" s="302" customFormat="1" ht="15.75">
      <c r="A75" s="342"/>
      <c r="B75" s="342" t="s">
        <v>20</v>
      </c>
      <c r="C75" s="342"/>
      <c r="D75" s="342"/>
      <c r="E75" s="342"/>
      <c r="F75" s="342"/>
      <c r="G75" s="342"/>
    </row>
    <row r="76" spans="1:7" s="302" customFormat="1" ht="15.75">
      <c r="A76" s="351"/>
      <c r="B76" s="351"/>
      <c r="C76" s="351"/>
      <c r="D76" s="351"/>
      <c r="E76" s="351"/>
      <c r="F76" s="351"/>
      <c r="G76" s="351"/>
    </row>
    <row r="77" spans="1:7" s="302" customFormat="1" ht="15.75">
      <c r="A77" s="351"/>
      <c r="B77" s="351"/>
      <c r="C77" s="351"/>
      <c r="D77" s="351"/>
      <c r="E77" s="351"/>
      <c r="F77" s="351"/>
      <c r="G77" s="351"/>
    </row>
    <row r="78" spans="1:7" s="302" customFormat="1" ht="15.75">
      <c r="A78" s="351"/>
      <c r="B78" s="351"/>
      <c r="C78" s="351"/>
      <c r="D78" s="351"/>
      <c r="E78" s="351"/>
      <c r="F78" s="351"/>
      <c r="G78" s="351"/>
    </row>
    <row r="79" spans="1:7" s="302" customFormat="1" ht="15.75">
      <c r="A79" s="351"/>
      <c r="B79" s="351"/>
      <c r="C79" s="351"/>
      <c r="D79" s="351"/>
      <c r="E79" s="351"/>
      <c r="F79" s="351"/>
      <c r="G79" s="351"/>
    </row>
    <row r="80" spans="1:7" s="302" customFormat="1" ht="15.75">
      <c r="A80" s="351"/>
      <c r="B80" s="351"/>
      <c r="C80" s="351"/>
      <c r="D80" s="351"/>
      <c r="E80" s="351"/>
      <c r="F80" s="351"/>
      <c r="G80" s="351"/>
    </row>
    <row r="81" spans="1:7" s="302" customFormat="1" ht="15.75">
      <c r="A81" s="351"/>
      <c r="B81" s="351"/>
      <c r="C81" s="351"/>
      <c r="D81" s="351"/>
      <c r="E81" s="351"/>
      <c r="F81" s="351"/>
      <c r="G81" s="351"/>
    </row>
    <row r="82" spans="1:7" s="302" customFormat="1" ht="15.75">
      <c r="A82" s="351"/>
      <c r="B82" s="351"/>
      <c r="C82" s="351"/>
      <c r="D82" s="351"/>
      <c r="E82" s="351"/>
      <c r="F82" s="351"/>
      <c r="G82" s="351"/>
    </row>
    <row r="83" spans="1:7" s="302" customFormat="1" ht="15.75">
      <c r="A83" s="351"/>
      <c r="B83" s="351"/>
      <c r="C83" s="351"/>
      <c r="D83" s="351"/>
      <c r="E83" s="351"/>
      <c r="F83" s="351"/>
      <c r="G83" s="351"/>
    </row>
    <row r="84" spans="1:7" s="302" customFormat="1" ht="15.75">
      <c r="A84" s="351"/>
      <c r="B84" s="351"/>
      <c r="C84" s="351"/>
      <c r="D84" s="351"/>
      <c r="E84" s="351"/>
      <c r="F84" s="351"/>
      <c r="G84" s="351"/>
    </row>
    <row r="85" spans="1:7" s="302" customFormat="1" ht="15.75">
      <c r="A85" s="351"/>
      <c r="B85" s="351"/>
      <c r="C85" s="351"/>
      <c r="D85" s="351"/>
      <c r="E85" s="351"/>
      <c r="F85" s="351"/>
      <c r="G85" s="351"/>
    </row>
    <row r="86" spans="1:7" s="302" customFormat="1" ht="15.75">
      <c r="A86" s="351"/>
      <c r="B86" s="351"/>
      <c r="C86" s="351"/>
      <c r="D86" s="351"/>
      <c r="E86" s="351"/>
      <c r="F86" s="351"/>
      <c r="G86" s="351"/>
    </row>
    <row r="87" spans="1:7" s="302" customFormat="1" ht="15.75">
      <c r="A87" s="351"/>
      <c r="B87" s="351"/>
      <c r="C87" s="351"/>
      <c r="D87" s="351"/>
      <c r="E87" s="351"/>
      <c r="F87" s="351"/>
      <c r="G87" s="351"/>
    </row>
    <row r="88" spans="1:7" s="302" customFormat="1" ht="15.75">
      <c r="A88" s="351"/>
      <c r="B88" s="351"/>
      <c r="C88" s="351"/>
      <c r="D88" s="351"/>
      <c r="E88" s="351"/>
      <c r="F88" s="351"/>
      <c r="G88" s="351"/>
    </row>
    <row r="89" spans="1:7" s="302" customFormat="1" ht="15.75">
      <c r="A89" s="351"/>
      <c r="B89" s="351"/>
      <c r="C89" s="351"/>
      <c r="D89" s="351"/>
      <c r="E89" s="351"/>
      <c r="F89" s="351"/>
      <c r="G89" s="351"/>
    </row>
    <row r="90" spans="1:7" s="302" customFormat="1" ht="15.75">
      <c r="A90" s="342"/>
      <c r="B90" s="646" t="s">
        <v>2418</v>
      </c>
      <c r="C90" s="352"/>
      <c r="D90" s="352"/>
      <c r="E90" s="352"/>
      <c r="F90" s="352"/>
      <c r="G90" s="352"/>
    </row>
    <row r="91" spans="1:7" s="302" customFormat="1" ht="15.75">
      <c r="A91" s="342"/>
      <c r="B91" s="353"/>
      <c r="C91" s="353"/>
      <c r="D91" s="353"/>
      <c r="E91" s="353"/>
      <c r="F91" s="353"/>
      <c r="G91" s="353"/>
    </row>
    <row r="92" spans="1:7" s="302" customFormat="1" ht="15.75">
      <c r="A92" s="342"/>
      <c r="B92" s="352" t="s">
        <v>22</v>
      </c>
      <c r="C92" s="352"/>
      <c r="D92" s="352"/>
      <c r="E92" s="352"/>
      <c r="F92" s="352"/>
      <c r="G92" s="352"/>
    </row>
    <row r="93" spans="1:7" s="302" customFormat="1" ht="15.75">
      <c r="A93" s="342"/>
      <c r="B93" s="353"/>
      <c r="C93" s="353"/>
      <c r="D93" s="353"/>
      <c r="E93" s="353"/>
      <c r="F93" s="353"/>
      <c r="G93" s="353"/>
    </row>
    <row r="94" spans="1:7" s="302" customFormat="1" ht="15.75">
      <c r="A94" s="342"/>
      <c r="B94" s="352" t="s">
        <v>23</v>
      </c>
      <c r="C94" s="352"/>
      <c r="D94" s="352"/>
      <c r="E94" s="352"/>
      <c r="F94" s="352"/>
      <c r="G94" s="352"/>
    </row>
    <row r="95" spans="1:7" s="302" customFormat="1" ht="15.75">
      <c r="A95" s="342"/>
      <c r="B95" s="352" t="s">
        <v>24</v>
      </c>
      <c r="C95" s="352"/>
      <c r="D95" s="352"/>
      <c r="E95" s="352"/>
      <c r="F95" s="352"/>
      <c r="G95" s="352"/>
    </row>
  </sheetData>
  <mergeCells count="30">
    <mergeCell ref="A1:H1"/>
    <mergeCell ref="C3:C7"/>
    <mergeCell ref="B3:B7"/>
    <mergeCell ref="C15:C17"/>
    <mergeCell ref="A3:A7"/>
    <mergeCell ref="C11:C14"/>
    <mergeCell ref="A11:A14"/>
    <mergeCell ref="B15:B17"/>
    <mergeCell ref="C8:C10"/>
    <mergeCell ref="A54:A59"/>
    <mergeCell ref="A15:A17"/>
    <mergeCell ref="A8:A10"/>
    <mergeCell ref="B50:B53"/>
    <mergeCell ref="A27:A45"/>
    <mergeCell ref="B18:B26"/>
    <mergeCell ref="C54:C59"/>
    <mergeCell ref="B27:B45"/>
    <mergeCell ref="C27:C45"/>
    <mergeCell ref="B11:B14"/>
    <mergeCell ref="A18:A26"/>
    <mergeCell ref="B8:B10"/>
    <mergeCell ref="C18:C26"/>
    <mergeCell ref="A61:F61"/>
    <mergeCell ref="A50:A53"/>
    <mergeCell ref="B54:B59"/>
    <mergeCell ref="C50:C53"/>
    <mergeCell ref="A46:A49"/>
    <mergeCell ref="B46:B49"/>
    <mergeCell ref="C46:C49"/>
    <mergeCell ref="A60:F60"/>
  </mergeCells>
  <phoneticPr fontId="4" type="noConversion"/>
  <pageMargins left="0.7" right="0.7"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dimension ref="A1:J74"/>
  <sheetViews>
    <sheetView workbookViewId="0">
      <selection activeCell="E37" sqref="E37"/>
    </sheetView>
  </sheetViews>
  <sheetFormatPr defaultRowHeight="15.75"/>
  <cols>
    <col min="1" max="1" width="6.140625" style="273" customWidth="1"/>
    <col min="2" max="2" width="20.5703125" style="274" customWidth="1"/>
    <col min="3" max="3" width="11.42578125" style="275" customWidth="1"/>
    <col min="4" max="4" width="38.5703125" style="8" customWidth="1"/>
    <col min="5" max="5" width="12.28515625" style="276" customWidth="1"/>
    <col min="6" max="6" width="12.42578125" style="765" customWidth="1"/>
    <col min="7" max="7" width="13.140625" style="275" customWidth="1"/>
    <col min="8" max="16384" width="9.140625" style="273"/>
  </cols>
  <sheetData>
    <row r="1" spans="1:7" ht="15.75" customHeight="1">
      <c r="A1" s="1186" t="s">
        <v>446</v>
      </c>
      <c r="B1" s="1186"/>
      <c r="C1" s="1186"/>
      <c r="D1" s="1186"/>
      <c r="E1" s="1186"/>
      <c r="F1" s="1186"/>
      <c r="G1" s="1186"/>
    </row>
    <row r="2" spans="1:7" ht="63" customHeight="1">
      <c r="A2" s="1186" t="s">
        <v>2426</v>
      </c>
      <c r="B2" s="1186"/>
      <c r="C2" s="1186"/>
      <c r="D2" s="1186"/>
      <c r="E2" s="1186"/>
      <c r="F2" s="1186"/>
      <c r="G2" s="1186"/>
    </row>
    <row r="3" spans="1:7" hidden="1"/>
    <row r="4" spans="1:7" ht="47.25" customHeight="1">
      <c r="A4" s="5" t="s">
        <v>434</v>
      </c>
      <c r="B4" s="766" t="s">
        <v>338</v>
      </c>
      <c r="C4" s="5" t="s">
        <v>771</v>
      </c>
      <c r="D4" s="5" t="s">
        <v>333</v>
      </c>
      <c r="E4" s="5" t="s">
        <v>337</v>
      </c>
      <c r="F4" s="420" t="s">
        <v>770</v>
      </c>
      <c r="G4" s="5" t="s">
        <v>82</v>
      </c>
    </row>
    <row r="5" spans="1:7" ht="47.25">
      <c r="A5" s="1283">
        <v>1</v>
      </c>
      <c r="B5" s="1307" t="s">
        <v>2301</v>
      </c>
      <c r="C5" s="1282">
        <v>0.33</v>
      </c>
      <c r="D5" s="277" t="s">
        <v>722</v>
      </c>
      <c r="E5" s="767">
        <f t="shared" ref="E5:E11" si="0">6.5/55</f>
        <v>0.11818181818181818</v>
      </c>
      <c r="F5" s="733"/>
      <c r="G5" s="768">
        <f t="shared" ref="G5:G15" si="1">E5*F5</f>
        <v>0</v>
      </c>
    </row>
    <row r="6" spans="1:7" ht="47.25">
      <c r="A6" s="1283"/>
      <c r="B6" s="1307"/>
      <c r="C6" s="1282"/>
      <c r="D6" s="86" t="s">
        <v>2427</v>
      </c>
      <c r="E6" s="767">
        <f t="shared" si="0"/>
        <v>0.11818181818181818</v>
      </c>
      <c r="F6" s="733"/>
      <c r="G6" s="768">
        <f>E6*F6</f>
        <v>0</v>
      </c>
    </row>
    <row r="7" spans="1:7" ht="93" customHeight="1">
      <c r="A7" s="1283"/>
      <c r="B7" s="1307"/>
      <c r="C7" s="1282"/>
      <c r="D7" s="2" t="s">
        <v>2428</v>
      </c>
      <c r="E7" s="767">
        <f t="shared" si="0"/>
        <v>0.11818181818181818</v>
      </c>
      <c r="F7" s="733"/>
      <c r="G7" s="768">
        <f t="shared" si="1"/>
        <v>0</v>
      </c>
    </row>
    <row r="8" spans="1:7" ht="34.5" customHeight="1">
      <c r="A8" s="1283"/>
      <c r="B8" s="1307"/>
      <c r="C8" s="1282"/>
      <c r="D8" s="282" t="s">
        <v>2429</v>
      </c>
      <c r="E8" s="767">
        <f t="shared" si="0"/>
        <v>0.11818181818181818</v>
      </c>
      <c r="F8" s="733"/>
      <c r="G8" s="768">
        <f t="shared" si="1"/>
        <v>0</v>
      </c>
    </row>
    <row r="9" spans="1:7" ht="51.75" customHeight="1">
      <c r="A9" s="1283"/>
      <c r="B9" s="1307"/>
      <c r="C9" s="1282"/>
      <c r="D9" s="282" t="s">
        <v>2430</v>
      </c>
      <c r="E9" s="767">
        <f t="shared" si="0"/>
        <v>0.11818181818181818</v>
      </c>
      <c r="F9" s="733"/>
      <c r="G9" s="768">
        <f t="shared" si="1"/>
        <v>0</v>
      </c>
    </row>
    <row r="10" spans="1:7" ht="39" customHeight="1">
      <c r="A10" s="1283"/>
      <c r="B10" s="1307"/>
      <c r="C10" s="1282"/>
      <c r="D10" s="2" t="s">
        <v>2306</v>
      </c>
      <c r="E10" s="767">
        <f t="shared" si="0"/>
        <v>0.11818181818181818</v>
      </c>
      <c r="F10" s="733"/>
      <c r="G10" s="768">
        <f t="shared" si="1"/>
        <v>0</v>
      </c>
    </row>
    <row r="11" spans="1:7" ht="34.5" customHeight="1">
      <c r="A11" s="1283"/>
      <c r="B11" s="1307"/>
      <c r="C11" s="1282"/>
      <c r="D11" s="2" t="s">
        <v>2307</v>
      </c>
      <c r="E11" s="767">
        <f t="shared" si="0"/>
        <v>0.11818181818181818</v>
      </c>
      <c r="F11" s="733"/>
      <c r="G11" s="768">
        <f t="shared" si="1"/>
        <v>0</v>
      </c>
    </row>
    <row r="12" spans="1:7" ht="17.25" customHeight="1">
      <c r="A12" s="1283"/>
      <c r="B12" s="1307"/>
      <c r="C12" s="1282"/>
      <c r="D12" s="2" t="s">
        <v>466</v>
      </c>
      <c r="E12" s="767">
        <f>5.5/55</f>
        <v>0.1</v>
      </c>
      <c r="F12" s="733"/>
      <c r="G12" s="768">
        <f t="shared" si="1"/>
        <v>0</v>
      </c>
    </row>
    <row r="13" spans="1:7" ht="16.5" customHeight="1">
      <c r="A13" s="1283"/>
      <c r="B13" s="1307"/>
      <c r="C13" s="1282"/>
      <c r="D13" s="2" t="s">
        <v>467</v>
      </c>
      <c r="E13" s="767">
        <f>1.5/55</f>
        <v>2.7272727272727271E-2</v>
      </c>
      <c r="F13" s="733"/>
      <c r="G13" s="768">
        <f t="shared" si="1"/>
        <v>0</v>
      </c>
    </row>
    <row r="14" spans="1:7" ht="18.75" customHeight="1">
      <c r="A14" s="1283"/>
      <c r="B14" s="1307"/>
      <c r="C14" s="1282"/>
      <c r="D14" s="2" t="s">
        <v>468</v>
      </c>
      <c r="E14" s="767">
        <f>1.5/55</f>
        <v>2.7272727272727271E-2</v>
      </c>
      <c r="F14" s="733"/>
      <c r="G14" s="768">
        <f t="shared" si="1"/>
        <v>0</v>
      </c>
    </row>
    <row r="15" spans="1:7" ht="33" customHeight="1">
      <c r="A15" s="1283"/>
      <c r="B15" s="1307"/>
      <c r="C15" s="1282"/>
      <c r="D15" s="2" t="s">
        <v>469</v>
      </c>
      <c r="E15" s="767">
        <f>1/55</f>
        <v>1.8181818181818181E-2</v>
      </c>
      <c r="F15" s="733"/>
      <c r="G15" s="768">
        <f t="shared" si="1"/>
        <v>0</v>
      </c>
    </row>
    <row r="16" spans="1:7" ht="16.5" customHeight="1">
      <c r="A16" s="87"/>
      <c r="B16" s="769" t="s">
        <v>1982</v>
      </c>
      <c r="C16" s="280"/>
      <c r="D16" s="90"/>
      <c r="E16" s="280">
        <f>SUM(E5:E15)</f>
        <v>0.99999999999999989</v>
      </c>
      <c r="F16" s="280">
        <f>SUM(F5:F15)</f>
        <v>0</v>
      </c>
      <c r="G16" s="280">
        <f>C5*SUM(G5:G15)</f>
        <v>0</v>
      </c>
    </row>
    <row r="17" spans="1:7" ht="86.25" customHeight="1">
      <c r="A17" s="1283">
        <v>2</v>
      </c>
      <c r="B17" s="1307" t="s">
        <v>2431</v>
      </c>
      <c r="C17" s="1282">
        <v>0.35</v>
      </c>
      <c r="D17" s="2" t="s">
        <v>2432</v>
      </c>
      <c r="E17" s="767">
        <f t="shared" ref="E17:E23" si="2">6/55</f>
        <v>0.10909090909090909</v>
      </c>
      <c r="F17" s="733"/>
      <c r="G17" s="768">
        <f t="shared" ref="G17:G27" si="3">E17*F17</f>
        <v>0</v>
      </c>
    </row>
    <row r="18" spans="1:7" ht="47.25" customHeight="1">
      <c r="A18" s="1283"/>
      <c r="B18" s="1307"/>
      <c r="C18" s="1282"/>
      <c r="D18" s="928" t="s">
        <v>1773</v>
      </c>
      <c r="E18" s="767">
        <f t="shared" si="2"/>
        <v>0.10909090909090909</v>
      </c>
      <c r="F18" s="733"/>
      <c r="G18" s="768">
        <f t="shared" si="3"/>
        <v>0</v>
      </c>
    </row>
    <row r="19" spans="1:7" ht="84" customHeight="1">
      <c r="A19" s="1283"/>
      <c r="B19" s="1307"/>
      <c r="C19" s="1282"/>
      <c r="D19" s="2" t="s">
        <v>1788</v>
      </c>
      <c r="E19" s="767">
        <f t="shared" si="2"/>
        <v>0.10909090909090909</v>
      </c>
      <c r="F19" s="733"/>
      <c r="G19" s="768">
        <f t="shared" si="3"/>
        <v>0</v>
      </c>
    </row>
    <row r="20" spans="1:7" ht="50.25" customHeight="1">
      <c r="A20" s="1283"/>
      <c r="B20" s="1307"/>
      <c r="C20" s="1282"/>
      <c r="D20" s="931" t="s">
        <v>2433</v>
      </c>
      <c r="E20" s="767">
        <f t="shared" si="2"/>
        <v>0.10909090909090909</v>
      </c>
      <c r="F20" s="733"/>
      <c r="G20" s="768">
        <f t="shared" si="3"/>
        <v>0</v>
      </c>
    </row>
    <row r="21" spans="1:7" ht="40.5" customHeight="1">
      <c r="A21" s="1283"/>
      <c r="B21" s="1307"/>
      <c r="C21" s="1282"/>
      <c r="D21" s="2" t="s">
        <v>1774</v>
      </c>
      <c r="E21" s="767">
        <f t="shared" si="2"/>
        <v>0.10909090909090909</v>
      </c>
      <c r="F21" s="733"/>
      <c r="G21" s="768">
        <f t="shared" si="3"/>
        <v>0</v>
      </c>
    </row>
    <row r="22" spans="1:7" ht="50.25" customHeight="1">
      <c r="A22" s="1283"/>
      <c r="B22" s="1307"/>
      <c r="C22" s="1282"/>
      <c r="D22" s="2" t="s">
        <v>2434</v>
      </c>
      <c r="E22" s="767">
        <f t="shared" si="2"/>
        <v>0.10909090909090909</v>
      </c>
      <c r="F22" s="733"/>
      <c r="G22" s="768">
        <f t="shared" si="3"/>
        <v>0</v>
      </c>
    </row>
    <row r="23" spans="1:7" ht="49.5" customHeight="1">
      <c r="A23" s="1283"/>
      <c r="B23" s="1307"/>
      <c r="C23" s="1282"/>
      <c r="D23" s="931" t="s">
        <v>2435</v>
      </c>
      <c r="E23" s="767">
        <f t="shared" si="2"/>
        <v>0.10909090909090909</v>
      </c>
      <c r="F23" s="733"/>
      <c r="G23" s="768">
        <f t="shared" si="3"/>
        <v>0</v>
      </c>
    </row>
    <row r="24" spans="1:7" ht="66" customHeight="1">
      <c r="A24" s="1283"/>
      <c r="B24" s="1307"/>
      <c r="C24" s="1282"/>
      <c r="D24" s="931" t="s">
        <v>2436</v>
      </c>
      <c r="E24" s="767">
        <f>5/55</f>
        <v>9.0909090909090912E-2</v>
      </c>
      <c r="F24" s="733"/>
      <c r="G24" s="768">
        <f t="shared" si="3"/>
        <v>0</v>
      </c>
    </row>
    <row r="25" spans="1:7" ht="48.75" customHeight="1">
      <c r="A25" s="1283"/>
      <c r="B25" s="1307"/>
      <c r="C25" s="1282"/>
      <c r="D25" s="931" t="s">
        <v>1792</v>
      </c>
      <c r="E25" s="767">
        <f>5/55</f>
        <v>9.0909090909090912E-2</v>
      </c>
      <c r="F25" s="733"/>
      <c r="G25" s="768">
        <f t="shared" si="3"/>
        <v>0</v>
      </c>
    </row>
    <row r="26" spans="1:7" ht="42.75" customHeight="1">
      <c r="A26" s="1283"/>
      <c r="B26" s="1307"/>
      <c r="C26" s="1282"/>
      <c r="D26" s="932" t="s">
        <v>2437</v>
      </c>
      <c r="E26" s="767">
        <f>1.5/55</f>
        <v>2.7272727272727271E-2</v>
      </c>
      <c r="F26" s="733"/>
      <c r="G26" s="768">
        <f t="shared" si="3"/>
        <v>0</v>
      </c>
    </row>
    <row r="27" spans="1:7" ht="51" customHeight="1">
      <c r="A27" s="1283"/>
      <c r="B27" s="1307"/>
      <c r="C27" s="1282"/>
      <c r="D27" s="928" t="s">
        <v>1772</v>
      </c>
      <c r="E27" s="767">
        <f>1.5/55</f>
        <v>2.7272727272727271E-2</v>
      </c>
      <c r="F27" s="733"/>
      <c r="G27" s="768">
        <f t="shared" si="3"/>
        <v>0</v>
      </c>
    </row>
    <row r="28" spans="1:7" ht="15.75" customHeight="1">
      <c r="A28" s="87"/>
      <c r="B28" s="769" t="s">
        <v>1982</v>
      </c>
      <c r="C28" s="280"/>
      <c r="D28" s="90"/>
      <c r="E28" s="280">
        <f>SUM(E17:E27)</f>
        <v>1</v>
      </c>
      <c r="F28" s="280">
        <f>SUM(F15:F27)</f>
        <v>0</v>
      </c>
      <c r="G28" s="280">
        <f>C17*SUM(G17:G27)</f>
        <v>0</v>
      </c>
    </row>
    <row r="29" spans="1:7" ht="51" customHeight="1">
      <c r="A29" s="1283">
        <v>3</v>
      </c>
      <c r="B29" s="1307" t="s">
        <v>2438</v>
      </c>
      <c r="C29" s="1282">
        <v>0.32</v>
      </c>
      <c r="D29" s="261" t="s">
        <v>2439</v>
      </c>
      <c r="E29" s="278">
        <f>6/45</f>
        <v>0.13333333333333333</v>
      </c>
      <c r="F29" s="1"/>
      <c r="G29" s="279">
        <f>E29*F29</f>
        <v>0</v>
      </c>
    </row>
    <row r="30" spans="1:7" ht="56.25" customHeight="1">
      <c r="A30" s="1283"/>
      <c r="B30" s="1307"/>
      <c r="C30" s="1282"/>
      <c r="D30" s="2" t="s">
        <v>2440</v>
      </c>
      <c r="E30" s="278">
        <f>6/45</f>
        <v>0.13333333333333333</v>
      </c>
      <c r="F30" s="1"/>
      <c r="G30" s="279">
        <f t="shared" ref="G30:G37" si="4">E30*F30</f>
        <v>0</v>
      </c>
    </row>
    <row r="31" spans="1:7" ht="96" customHeight="1">
      <c r="A31" s="1283"/>
      <c r="B31" s="1307"/>
      <c r="C31" s="1282"/>
      <c r="D31" s="261" t="s">
        <v>2441</v>
      </c>
      <c r="E31" s="278">
        <f>5/45</f>
        <v>0.1111111111111111</v>
      </c>
      <c r="F31" s="1"/>
      <c r="G31" s="279">
        <f t="shared" si="4"/>
        <v>0</v>
      </c>
    </row>
    <row r="32" spans="1:7" ht="49.5" customHeight="1">
      <c r="A32" s="1283"/>
      <c r="B32" s="1307"/>
      <c r="C32" s="1282"/>
      <c r="D32" s="261" t="s">
        <v>2442</v>
      </c>
      <c r="E32" s="278">
        <f>4/45</f>
        <v>8.8888888888888892E-2</v>
      </c>
      <c r="F32" s="1"/>
      <c r="G32" s="279">
        <f t="shared" si="4"/>
        <v>0</v>
      </c>
    </row>
    <row r="33" spans="1:10" ht="39" customHeight="1">
      <c r="A33" s="1283"/>
      <c r="B33" s="1307"/>
      <c r="C33" s="1282"/>
      <c r="D33" s="261" t="s">
        <v>2443</v>
      </c>
      <c r="E33" s="278">
        <f>4/45</f>
        <v>8.8888888888888892E-2</v>
      </c>
      <c r="F33" s="1"/>
      <c r="G33" s="279">
        <f t="shared" si="4"/>
        <v>0</v>
      </c>
    </row>
    <row r="34" spans="1:10" ht="39" customHeight="1">
      <c r="A34" s="1283"/>
      <c r="B34" s="1307"/>
      <c r="C34" s="1282"/>
      <c r="D34" s="261" t="s">
        <v>2444</v>
      </c>
      <c r="E34" s="278">
        <f>4/45</f>
        <v>8.8888888888888892E-2</v>
      </c>
      <c r="F34" s="1"/>
      <c r="G34" s="279">
        <f t="shared" si="4"/>
        <v>0</v>
      </c>
    </row>
    <row r="35" spans="1:10" ht="49.5" customHeight="1">
      <c r="A35" s="1283"/>
      <c r="B35" s="1307"/>
      <c r="C35" s="1282"/>
      <c r="D35" s="261" t="s">
        <v>2445</v>
      </c>
      <c r="E35" s="278">
        <f>4/45</f>
        <v>8.8888888888888892E-2</v>
      </c>
      <c r="F35" s="1"/>
      <c r="G35" s="279">
        <f t="shared" si="4"/>
        <v>0</v>
      </c>
    </row>
    <row r="36" spans="1:10" ht="36.75" customHeight="1">
      <c r="A36" s="1283"/>
      <c r="B36" s="1307"/>
      <c r="C36" s="1282"/>
      <c r="D36" s="261" t="s">
        <v>2446</v>
      </c>
      <c r="E36" s="278">
        <f>6/45</f>
        <v>0.13333333333333333</v>
      </c>
      <c r="F36" s="1"/>
      <c r="G36" s="279">
        <f t="shared" si="4"/>
        <v>0</v>
      </c>
    </row>
    <row r="37" spans="1:10" ht="39" customHeight="1">
      <c r="A37" s="1283"/>
      <c r="B37" s="1307"/>
      <c r="C37" s="1282"/>
      <c r="D37" s="261" t="s">
        <v>2447</v>
      </c>
      <c r="E37" s="278">
        <f>6/45</f>
        <v>0.13333333333333333</v>
      </c>
      <c r="F37" s="1"/>
      <c r="G37" s="279">
        <f t="shared" si="4"/>
        <v>0</v>
      </c>
    </row>
    <row r="38" spans="1:10" ht="15.75" customHeight="1">
      <c r="A38" s="87"/>
      <c r="B38" s="769" t="s">
        <v>1982</v>
      </c>
      <c r="C38" s="280">
        <f>SUM(C5:C37)</f>
        <v>1</v>
      </c>
      <c r="D38" s="90"/>
      <c r="E38" s="280">
        <f>SUM(E29:E37)</f>
        <v>1</v>
      </c>
      <c r="F38" s="280">
        <f>SUM(F23:F37)</f>
        <v>0</v>
      </c>
      <c r="G38" s="280">
        <f>C29*SUM(G29:G37)</f>
        <v>0</v>
      </c>
    </row>
    <row r="39" spans="1:10" ht="16.5">
      <c r="A39" s="1308" t="s">
        <v>443</v>
      </c>
      <c r="B39" s="1308"/>
      <c r="C39" s="1308"/>
      <c r="D39" s="90"/>
      <c r="E39" s="280"/>
      <c r="F39" s="770"/>
      <c r="G39" s="280">
        <f>SUM(G16,G28,G38)</f>
        <v>0</v>
      </c>
      <c r="J39" s="273" t="s">
        <v>907</v>
      </c>
    </row>
    <row r="40" spans="1:10" ht="16.5">
      <c r="A40" s="1308" t="s">
        <v>444</v>
      </c>
      <c r="B40" s="1308"/>
      <c r="C40" s="1308"/>
      <c r="D40" s="94"/>
      <c r="E40" s="284"/>
      <c r="F40" s="777"/>
      <c r="G40" s="285" t="str">
        <f>IF(G39&lt;=0.5,"низький",IF(G39&lt;=0.75,"середній",(IF(G39&lt;=0.95,"достатній",(IF(G39&lt;=1,"високий"))))))</f>
        <v>низький</v>
      </c>
    </row>
    <row r="41" spans="1:10" s="302" customFormat="1">
      <c r="A41" s="288" t="s">
        <v>182</v>
      </c>
      <c r="B41" s="289"/>
      <c r="C41" s="342"/>
      <c r="E41" s="343"/>
      <c r="F41" s="344"/>
      <c r="G41" s="112"/>
    </row>
    <row r="42" spans="1:10" s="302" customFormat="1" ht="17.25">
      <c r="A42" s="345" t="s">
        <v>589</v>
      </c>
      <c r="B42" s="346"/>
      <c r="C42" s="347"/>
      <c r="D42" s="303"/>
      <c r="E42" s="348"/>
      <c r="F42" s="349"/>
      <c r="G42" s="112"/>
    </row>
    <row r="43" spans="1:10" s="302" customFormat="1" ht="17.25">
      <c r="A43" s="345" t="s">
        <v>590</v>
      </c>
      <c r="B43" s="346"/>
      <c r="C43" s="347"/>
      <c r="D43" s="303"/>
      <c r="E43" s="348"/>
      <c r="F43" s="349"/>
      <c r="G43" s="112"/>
    </row>
    <row r="44" spans="1:10" s="302" customFormat="1" ht="17.25">
      <c r="A44" s="345" t="s">
        <v>591</v>
      </c>
      <c r="B44" s="346"/>
      <c r="C44" s="347"/>
      <c r="D44" s="303"/>
      <c r="E44" s="348"/>
      <c r="F44" s="349"/>
      <c r="G44" s="112"/>
    </row>
    <row r="45" spans="1:10" s="302" customFormat="1" ht="17.25">
      <c r="A45" s="345" t="s">
        <v>592</v>
      </c>
      <c r="B45" s="346"/>
      <c r="C45" s="347"/>
      <c r="D45" s="303"/>
      <c r="E45" s="348"/>
      <c r="F45" s="349"/>
      <c r="G45" s="112"/>
    </row>
    <row r="46" spans="1:10" s="302" customFormat="1" ht="17.25">
      <c r="A46" s="345" t="s">
        <v>593</v>
      </c>
      <c r="B46" s="346"/>
      <c r="C46" s="347"/>
      <c r="D46" s="303"/>
      <c r="E46" s="348"/>
      <c r="F46" s="349"/>
      <c r="G46" s="112"/>
    </row>
    <row r="47" spans="1:10" s="302" customFormat="1" ht="17.25">
      <c r="A47" s="345" t="s">
        <v>594</v>
      </c>
      <c r="B47" s="346"/>
      <c r="C47" s="347"/>
      <c r="D47" s="303"/>
      <c r="E47" s="348"/>
      <c r="F47" s="349"/>
      <c r="G47" s="112"/>
    </row>
    <row r="48" spans="1:10" s="302" customFormat="1" ht="17.25">
      <c r="A48" s="345" t="s">
        <v>595</v>
      </c>
      <c r="B48" s="346"/>
      <c r="C48" s="347"/>
      <c r="D48" s="303"/>
      <c r="E48" s="348"/>
      <c r="F48" s="349"/>
      <c r="G48" s="112"/>
    </row>
    <row r="49" spans="1:7" s="302" customFormat="1">
      <c r="A49" s="350" t="s">
        <v>596</v>
      </c>
      <c r="B49" s="346"/>
      <c r="C49" s="347"/>
      <c r="D49" s="303"/>
      <c r="E49" s="348"/>
      <c r="F49" s="349"/>
      <c r="G49" s="112"/>
    </row>
    <row r="50" spans="1:7" s="302" customFormat="1">
      <c r="A50" s="345" t="s">
        <v>597</v>
      </c>
      <c r="B50" s="346"/>
      <c r="C50" s="347"/>
      <c r="D50" s="303"/>
      <c r="E50" s="348"/>
      <c r="F50" s="349"/>
      <c r="G50" s="112"/>
    </row>
    <row r="51" spans="1:7" s="302" customFormat="1">
      <c r="A51" s="288" t="s">
        <v>792</v>
      </c>
      <c r="B51" s="346"/>
      <c r="C51" s="347"/>
      <c r="D51" s="303"/>
      <c r="E51" s="348"/>
      <c r="F51" s="349"/>
      <c r="G51" s="112"/>
    </row>
    <row r="52" spans="1:7" s="302" customFormat="1">
      <c r="A52" s="288" t="s">
        <v>793</v>
      </c>
      <c r="B52" s="346"/>
      <c r="C52" s="347"/>
      <c r="D52" s="303"/>
      <c r="E52" s="348"/>
      <c r="F52" s="349"/>
      <c r="G52" s="112"/>
    </row>
    <row r="53" spans="1:7" s="302" customFormat="1">
      <c r="A53" s="288" t="s">
        <v>794</v>
      </c>
      <c r="B53" s="346"/>
      <c r="C53" s="347"/>
      <c r="D53" s="303"/>
      <c r="E53" s="348"/>
      <c r="F53" s="349"/>
      <c r="G53" s="112"/>
    </row>
    <row r="54" spans="1:7" s="302" customFormat="1">
      <c r="A54" s="342"/>
      <c r="B54" s="342" t="s">
        <v>20</v>
      </c>
      <c r="C54" s="342"/>
      <c r="D54" s="342"/>
      <c r="E54" s="342"/>
      <c r="F54" s="342"/>
      <c r="G54" s="342"/>
    </row>
    <row r="55" spans="1:7" s="302" customFormat="1">
      <c r="A55" s="351"/>
      <c r="B55" s="351"/>
      <c r="C55" s="351"/>
      <c r="D55" s="351"/>
      <c r="E55" s="351"/>
      <c r="F55" s="351"/>
      <c r="G55" s="351"/>
    </row>
    <row r="56" spans="1:7" s="302" customFormat="1">
      <c r="A56" s="351"/>
      <c r="B56" s="351"/>
      <c r="C56" s="351"/>
      <c r="D56" s="351"/>
      <c r="E56" s="351"/>
      <c r="F56" s="351"/>
      <c r="G56" s="351"/>
    </row>
    <row r="57" spans="1:7" s="302" customFormat="1">
      <c r="A57" s="351"/>
      <c r="B57" s="351"/>
      <c r="C57" s="351"/>
      <c r="D57" s="351"/>
      <c r="E57" s="351"/>
      <c r="F57" s="351"/>
      <c r="G57" s="351"/>
    </row>
    <row r="58" spans="1:7" s="302" customFormat="1">
      <c r="A58" s="351"/>
      <c r="B58" s="351"/>
      <c r="C58" s="351"/>
      <c r="D58" s="351"/>
      <c r="E58" s="351"/>
      <c r="F58" s="351"/>
      <c r="G58" s="351"/>
    </row>
    <row r="59" spans="1:7" s="302" customFormat="1">
      <c r="A59" s="351"/>
      <c r="B59" s="351"/>
      <c r="C59" s="351"/>
      <c r="D59" s="351"/>
      <c r="E59" s="351"/>
      <c r="F59" s="351"/>
      <c r="G59" s="351"/>
    </row>
    <row r="60" spans="1:7" s="302" customFormat="1">
      <c r="A60" s="351"/>
      <c r="B60" s="351"/>
      <c r="C60" s="351"/>
      <c r="D60" s="351"/>
      <c r="E60" s="351"/>
      <c r="F60" s="351"/>
      <c r="G60" s="351"/>
    </row>
    <row r="61" spans="1:7" s="302" customFormat="1">
      <c r="A61" s="351"/>
      <c r="B61" s="351"/>
      <c r="C61" s="351"/>
      <c r="D61" s="351"/>
      <c r="E61" s="351"/>
      <c r="F61" s="351"/>
      <c r="G61" s="351"/>
    </row>
    <row r="62" spans="1:7" s="302" customFormat="1">
      <c r="A62" s="351"/>
      <c r="B62" s="351"/>
      <c r="C62" s="351"/>
      <c r="D62" s="351"/>
      <c r="E62" s="351"/>
      <c r="F62" s="351"/>
      <c r="G62" s="351"/>
    </row>
    <row r="63" spans="1:7" s="302" customFormat="1">
      <c r="A63" s="351"/>
      <c r="B63" s="351"/>
      <c r="C63" s="351"/>
      <c r="D63" s="351"/>
      <c r="E63" s="351"/>
      <c r="F63" s="351"/>
      <c r="G63" s="351"/>
    </row>
    <row r="64" spans="1:7" s="302" customFormat="1">
      <c r="A64" s="351"/>
      <c r="B64" s="351"/>
      <c r="C64" s="351"/>
      <c r="D64" s="351"/>
      <c r="E64" s="351"/>
      <c r="F64" s="351"/>
      <c r="G64" s="351"/>
    </row>
    <row r="65" spans="1:7" s="302" customFormat="1">
      <c r="A65" s="351"/>
      <c r="B65" s="351"/>
      <c r="C65" s="351"/>
      <c r="D65" s="351"/>
      <c r="E65" s="351"/>
      <c r="F65" s="351"/>
      <c r="G65" s="351"/>
    </row>
    <row r="66" spans="1:7" s="302" customFormat="1">
      <c r="A66" s="351"/>
      <c r="B66" s="351"/>
      <c r="C66" s="351"/>
      <c r="D66" s="351"/>
      <c r="E66" s="351"/>
      <c r="F66" s="351"/>
      <c r="G66" s="351"/>
    </row>
    <row r="67" spans="1:7" s="302" customFormat="1">
      <c r="A67" s="351"/>
      <c r="B67" s="351"/>
      <c r="C67" s="351"/>
      <c r="D67" s="351"/>
      <c r="E67" s="351"/>
      <c r="F67" s="351"/>
      <c r="G67" s="351"/>
    </row>
    <row r="68" spans="1:7" s="302" customFormat="1">
      <c r="A68" s="351"/>
      <c r="B68" s="351"/>
      <c r="C68" s="351"/>
      <c r="D68" s="351"/>
      <c r="E68" s="351"/>
      <c r="F68" s="351"/>
      <c r="G68" s="351"/>
    </row>
    <row r="69" spans="1:7" s="302" customFormat="1">
      <c r="A69" s="342"/>
      <c r="B69" s="352" t="s">
        <v>2418</v>
      </c>
      <c r="C69" s="352"/>
      <c r="D69" s="352"/>
      <c r="E69" s="352"/>
      <c r="F69" s="352"/>
      <c r="G69" s="352"/>
    </row>
    <row r="70" spans="1:7" s="302" customFormat="1">
      <c r="A70" s="342"/>
      <c r="B70" s="353"/>
      <c r="C70" s="353"/>
      <c r="D70" s="353"/>
      <c r="E70" s="353"/>
      <c r="F70" s="353"/>
      <c r="G70" s="353"/>
    </row>
    <row r="71" spans="1:7" s="302" customFormat="1">
      <c r="A71" s="342"/>
      <c r="B71" s="352" t="s">
        <v>22</v>
      </c>
      <c r="C71" s="352"/>
      <c r="D71" s="352"/>
      <c r="E71" s="352"/>
      <c r="F71" s="352"/>
      <c r="G71" s="352"/>
    </row>
    <row r="72" spans="1:7" s="302" customFormat="1">
      <c r="A72" s="342"/>
      <c r="B72" s="353"/>
      <c r="C72" s="353"/>
      <c r="D72" s="353"/>
      <c r="E72" s="353"/>
      <c r="F72" s="353"/>
      <c r="G72" s="353"/>
    </row>
    <row r="73" spans="1:7" s="302" customFormat="1">
      <c r="A73" s="342"/>
      <c r="B73" s="352" t="s">
        <v>23</v>
      </c>
      <c r="C73" s="352"/>
      <c r="D73" s="352"/>
      <c r="E73" s="352"/>
      <c r="F73" s="352"/>
      <c r="G73" s="352"/>
    </row>
    <row r="74" spans="1:7" s="302" customFormat="1">
      <c r="A74" s="342"/>
      <c r="B74" s="352" t="s">
        <v>24</v>
      </c>
      <c r="C74" s="352"/>
      <c r="D74" s="352"/>
      <c r="E74" s="352"/>
      <c r="F74" s="352"/>
      <c r="G74" s="352"/>
    </row>
  </sheetData>
  <mergeCells count="13">
    <mergeCell ref="B29:B37"/>
    <mergeCell ref="C29:C37"/>
    <mergeCell ref="A39:C39"/>
    <mergeCell ref="A40:C40"/>
    <mergeCell ref="A1:G1"/>
    <mergeCell ref="A2:G2"/>
    <mergeCell ref="A5:A15"/>
    <mergeCell ref="B5:B15"/>
    <mergeCell ref="C5:C15"/>
    <mergeCell ref="A17:A27"/>
    <mergeCell ref="B17:B27"/>
    <mergeCell ref="C17:C27"/>
    <mergeCell ref="A29:A37"/>
  </mergeCells>
  <phoneticPr fontId="4" type="noConversion"/>
  <pageMargins left="0.7" right="0.7" top="0.75" bottom="0.75" header="0.3" footer="0.3"/>
  <pageSetup paperSize="9" scale="75" orientation="portrait" r:id="rId1"/>
</worksheet>
</file>

<file path=xl/worksheets/sheet31.xml><?xml version="1.0" encoding="utf-8"?>
<worksheet xmlns="http://schemas.openxmlformats.org/spreadsheetml/2006/main" xmlns:r="http://schemas.openxmlformats.org/officeDocument/2006/relationships">
  <dimension ref="A2:H82"/>
  <sheetViews>
    <sheetView zoomScale="80" zoomScaleNormal="80" workbookViewId="0">
      <selection activeCell="H47" sqref="H47"/>
    </sheetView>
  </sheetViews>
  <sheetFormatPr defaultRowHeight="18"/>
  <cols>
    <col min="2" max="2" width="24.85546875" customWidth="1"/>
    <col min="3" max="3" width="11.5703125" style="23" customWidth="1"/>
    <col min="4" max="4" width="11.140625" style="23" customWidth="1"/>
    <col min="5" max="5" width="53.140625" style="23" customWidth="1"/>
    <col min="6" max="6" width="13.5703125" style="23" customWidth="1"/>
    <col min="7" max="7" width="13.42578125" style="378" customWidth="1"/>
    <col min="8" max="8" width="17.42578125" style="380" customWidth="1"/>
    <col min="9" max="16384" width="9.140625" style="356"/>
  </cols>
  <sheetData>
    <row r="2" spans="1:8" ht="80.25" customHeight="1">
      <c r="A2" s="1161" t="s">
        <v>2134</v>
      </c>
      <c r="B2" s="1162"/>
      <c r="C2" s="1162"/>
      <c r="D2" s="1162"/>
      <c r="E2" s="1162"/>
      <c r="F2" s="1162"/>
      <c r="G2" s="1162"/>
      <c r="H2" s="1163"/>
    </row>
    <row r="3" spans="1:8" ht="48.75" customHeight="1">
      <c r="A3" s="631" t="s">
        <v>434</v>
      </c>
      <c r="B3" s="631" t="s">
        <v>1444</v>
      </c>
      <c r="C3" s="813" t="s">
        <v>1445</v>
      </c>
      <c r="D3" s="796"/>
      <c r="E3" s="631" t="s">
        <v>452</v>
      </c>
      <c r="F3" s="631" t="s">
        <v>1445</v>
      </c>
      <c r="G3" s="632" t="s">
        <v>399</v>
      </c>
      <c r="H3" s="633" t="s">
        <v>1446</v>
      </c>
    </row>
    <row r="4" spans="1:8" ht="100.5" customHeight="1">
      <c r="A4" s="1174">
        <v>1</v>
      </c>
      <c r="B4" s="1167" t="s">
        <v>1454</v>
      </c>
      <c r="C4" s="1175">
        <v>0.05</v>
      </c>
      <c r="D4" s="797">
        <v>1</v>
      </c>
      <c r="E4" s="804" t="s">
        <v>2135</v>
      </c>
      <c r="F4" s="814">
        <v>0.33</v>
      </c>
      <c r="G4" s="807"/>
      <c r="H4" s="798">
        <f>G4*F4</f>
        <v>0</v>
      </c>
    </row>
    <row r="5" spans="1:8" ht="139.5" customHeight="1">
      <c r="A5" s="1174"/>
      <c r="B5" s="1168"/>
      <c r="C5" s="1175"/>
      <c r="D5" s="797">
        <v>2</v>
      </c>
      <c r="E5" s="623" t="s">
        <v>2136</v>
      </c>
      <c r="F5" s="814">
        <v>0.67</v>
      </c>
      <c r="G5" s="807"/>
      <c r="H5" s="798">
        <f t="shared" ref="H5:H44" si="0">G5*F5</f>
        <v>0</v>
      </c>
    </row>
    <row r="6" spans="1:8" ht="18" customHeight="1">
      <c r="A6" s="1174"/>
      <c r="B6" s="1169"/>
      <c r="C6" s="1175"/>
      <c r="D6" s="797"/>
      <c r="E6" s="804"/>
      <c r="F6" s="815">
        <f>SUM(F4:F5)</f>
        <v>1</v>
      </c>
      <c r="G6" s="809"/>
      <c r="H6" s="805">
        <f>SUM(H4:H5)*C4</f>
        <v>0</v>
      </c>
    </row>
    <row r="7" spans="1:8" ht="99" customHeight="1">
      <c r="A7" s="1174">
        <v>2</v>
      </c>
      <c r="B7" s="1167" t="s">
        <v>1434</v>
      </c>
      <c r="C7" s="1175">
        <v>0.1</v>
      </c>
      <c r="D7" s="797">
        <v>1</v>
      </c>
      <c r="E7" s="625" t="s">
        <v>2137</v>
      </c>
      <c r="F7" s="814">
        <v>0.25</v>
      </c>
      <c r="G7" s="798"/>
      <c r="H7" s="798">
        <f t="shared" si="0"/>
        <v>0</v>
      </c>
    </row>
    <row r="8" spans="1:8" ht="21" customHeight="1">
      <c r="A8" s="1174"/>
      <c r="B8" s="1168"/>
      <c r="C8" s="1175"/>
      <c r="D8" s="797">
        <v>2</v>
      </c>
      <c r="E8" s="804" t="s">
        <v>2138</v>
      </c>
      <c r="F8" s="814">
        <v>0.25</v>
      </c>
      <c r="G8" s="798"/>
      <c r="H8" s="798">
        <f t="shared" si="0"/>
        <v>0</v>
      </c>
    </row>
    <row r="9" spans="1:8" ht="20.25" customHeight="1">
      <c r="A9" s="1174"/>
      <c r="B9" s="1168"/>
      <c r="C9" s="1175"/>
      <c r="D9" s="797">
        <v>3</v>
      </c>
      <c r="E9" s="804" t="s">
        <v>1435</v>
      </c>
      <c r="F9" s="814">
        <v>0.5</v>
      </c>
      <c r="G9" s="798"/>
      <c r="H9" s="798">
        <f t="shared" si="0"/>
        <v>0</v>
      </c>
    </row>
    <row r="10" spans="1:8" ht="18.75" customHeight="1">
      <c r="A10" s="1174"/>
      <c r="B10" s="1169"/>
      <c r="C10" s="1175"/>
      <c r="D10" s="797"/>
      <c r="E10" s="804"/>
      <c r="F10" s="815">
        <f>SUM(F7:F9)</f>
        <v>1</v>
      </c>
      <c r="G10" s="809"/>
      <c r="H10" s="809">
        <f>SUM(H7:H9)*C7</f>
        <v>0</v>
      </c>
    </row>
    <row r="11" spans="1:8" ht="36.75" customHeight="1">
      <c r="A11" s="1174">
        <v>3</v>
      </c>
      <c r="B11" s="1328" t="s">
        <v>1455</v>
      </c>
      <c r="C11" s="1175">
        <v>0.12</v>
      </c>
      <c r="D11" s="797">
        <v>1</v>
      </c>
      <c r="E11" s="804" t="s">
        <v>2139</v>
      </c>
      <c r="F11" s="814">
        <v>0.12</v>
      </c>
      <c r="G11" s="798"/>
      <c r="H11" s="798">
        <f t="shared" si="0"/>
        <v>0</v>
      </c>
    </row>
    <row r="12" spans="1:8" ht="77.25" customHeight="1">
      <c r="A12" s="1174"/>
      <c r="B12" s="1328"/>
      <c r="C12" s="1175"/>
      <c r="D12" s="797">
        <v>2</v>
      </c>
      <c r="E12" s="625" t="s">
        <v>2140</v>
      </c>
      <c r="F12" s="814">
        <v>0.2</v>
      </c>
      <c r="G12" s="798"/>
      <c r="H12" s="798">
        <f t="shared" si="0"/>
        <v>0</v>
      </c>
    </row>
    <row r="13" spans="1:8" ht="24.75" customHeight="1">
      <c r="A13" s="1174"/>
      <c r="B13" s="1328"/>
      <c r="C13" s="1175"/>
      <c r="D13" s="797">
        <v>3</v>
      </c>
      <c r="E13" s="816" t="s">
        <v>1456</v>
      </c>
      <c r="F13" s="814">
        <v>0.33</v>
      </c>
      <c r="G13" s="798"/>
      <c r="H13" s="798">
        <f t="shared" si="0"/>
        <v>0</v>
      </c>
    </row>
    <row r="14" spans="1:8" ht="36" customHeight="1">
      <c r="A14" s="1174"/>
      <c r="B14" s="1328"/>
      <c r="C14" s="1175"/>
      <c r="D14" s="797">
        <v>4</v>
      </c>
      <c r="E14" s="804" t="s">
        <v>2141</v>
      </c>
      <c r="F14" s="814">
        <v>0.35</v>
      </c>
      <c r="G14" s="798"/>
      <c r="H14" s="798">
        <f t="shared" si="0"/>
        <v>0</v>
      </c>
    </row>
    <row r="15" spans="1:8" ht="20.25" customHeight="1">
      <c r="A15" s="1174"/>
      <c r="B15" s="1328"/>
      <c r="C15" s="1175"/>
      <c r="D15" s="797"/>
      <c r="E15" s="804"/>
      <c r="F15" s="815">
        <f>SUM(F11:F14)</f>
        <v>1</v>
      </c>
      <c r="G15" s="809"/>
      <c r="H15" s="809">
        <f>SUM(H11:H14)*C11</f>
        <v>0</v>
      </c>
    </row>
    <row r="16" spans="1:8" ht="41.25" customHeight="1">
      <c r="A16" s="1174">
        <v>4</v>
      </c>
      <c r="B16" s="1328" t="s">
        <v>1457</v>
      </c>
      <c r="C16" s="1175">
        <v>0.21</v>
      </c>
      <c r="D16" s="797">
        <v>1</v>
      </c>
      <c r="E16" s="817" t="s">
        <v>1458</v>
      </c>
      <c r="F16" s="814">
        <v>0.2</v>
      </c>
      <c r="G16" s="798"/>
      <c r="H16" s="807">
        <f t="shared" si="0"/>
        <v>0</v>
      </c>
    </row>
    <row r="17" spans="1:8" ht="40.5" customHeight="1">
      <c r="A17" s="1174"/>
      <c r="B17" s="1328"/>
      <c r="C17" s="1175"/>
      <c r="D17" s="797">
        <v>2</v>
      </c>
      <c r="E17" s="804" t="s">
        <v>1459</v>
      </c>
      <c r="F17" s="814">
        <v>0.14000000000000001</v>
      </c>
      <c r="G17" s="798"/>
      <c r="H17" s="807">
        <f t="shared" si="0"/>
        <v>0</v>
      </c>
    </row>
    <row r="18" spans="1:8" ht="24.75" customHeight="1">
      <c r="A18" s="1174"/>
      <c r="B18" s="1328"/>
      <c r="C18" s="1175"/>
      <c r="D18" s="797">
        <v>3</v>
      </c>
      <c r="E18" s="804" t="s">
        <v>1460</v>
      </c>
      <c r="F18" s="814">
        <v>0.08</v>
      </c>
      <c r="G18" s="798"/>
      <c r="H18" s="807">
        <f t="shared" si="0"/>
        <v>0</v>
      </c>
    </row>
    <row r="19" spans="1:8" ht="120.75" customHeight="1">
      <c r="A19" s="1174"/>
      <c r="B19" s="1328"/>
      <c r="C19" s="1175"/>
      <c r="D19" s="797">
        <v>4</v>
      </c>
      <c r="E19" s="804" t="s">
        <v>1461</v>
      </c>
      <c r="F19" s="814">
        <v>0.21</v>
      </c>
      <c r="G19" s="798"/>
      <c r="H19" s="807">
        <f t="shared" si="0"/>
        <v>0</v>
      </c>
    </row>
    <row r="20" spans="1:8" ht="32.25" customHeight="1">
      <c r="A20" s="1174"/>
      <c r="B20" s="1328"/>
      <c r="C20" s="1175"/>
      <c r="D20" s="797">
        <v>5</v>
      </c>
      <c r="E20" s="818" t="s">
        <v>1462</v>
      </c>
      <c r="F20" s="814">
        <v>0.19</v>
      </c>
      <c r="G20" s="798"/>
      <c r="H20" s="807">
        <f t="shared" si="0"/>
        <v>0</v>
      </c>
    </row>
    <row r="21" spans="1:8" ht="151.5" customHeight="1">
      <c r="A21" s="1174"/>
      <c r="B21" s="1328"/>
      <c r="C21" s="1175"/>
      <c r="D21" s="797">
        <v>6</v>
      </c>
      <c r="E21" s="625" t="s">
        <v>1463</v>
      </c>
      <c r="F21" s="814">
        <v>0.05</v>
      </c>
      <c r="G21" s="798"/>
      <c r="H21" s="807">
        <f t="shared" si="0"/>
        <v>0</v>
      </c>
    </row>
    <row r="22" spans="1:8" ht="37.5">
      <c r="A22" s="1174"/>
      <c r="B22" s="1328"/>
      <c r="C22" s="1175"/>
      <c r="D22" s="797">
        <v>7</v>
      </c>
      <c r="E22" s="804" t="s">
        <v>2142</v>
      </c>
      <c r="F22" s="814">
        <v>0.13</v>
      </c>
      <c r="G22" s="798"/>
      <c r="H22" s="807">
        <f t="shared" si="0"/>
        <v>0</v>
      </c>
    </row>
    <row r="23" spans="1:8" ht="20.25" customHeight="1">
      <c r="A23" s="1174"/>
      <c r="B23" s="1328"/>
      <c r="C23" s="1175"/>
      <c r="D23" s="797"/>
      <c r="E23" s="804"/>
      <c r="F23" s="815">
        <f>SUM(F16:F22)</f>
        <v>1</v>
      </c>
      <c r="G23" s="809"/>
      <c r="H23" s="805">
        <f>SUM(H16:H22)*C16</f>
        <v>0</v>
      </c>
    </row>
    <row r="24" spans="1:8" ht="116.25" customHeight="1">
      <c r="A24" s="1174">
        <v>5</v>
      </c>
      <c r="B24" s="1328" t="s">
        <v>1464</v>
      </c>
      <c r="C24" s="1175">
        <v>0.19</v>
      </c>
      <c r="D24" s="797">
        <v>1</v>
      </c>
      <c r="E24" s="625" t="s">
        <v>1465</v>
      </c>
      <c r="F24" s="814">
        <v>0.17</v>
      </c>
      <c r="G24" s="798"/>
      <c r="H24" s="807">
        <f t="shared" si="0"/>
        <v>0</v>
      </c>
    </row>
    <row r="25" spans="1:8" ht="43.5" customHeight="1">
      <c r="A25" s="1174"/>
      <c r="B25" s="1328"/>
      <c r="C25" s="1175"/>
      <c r="D25" s="797">
        <v>2</v>
      </c>
      <c r="E25" s="804" t="s">
        <v>1466</v>
      </c>
      <c r="F25" s="814">
        <v>0.08</v>
      </c>
      <c r="G25" s="798"/>
      <c r="H25" s="807">
        <f t="shared" si="0"/>
        <v>0</v>
      </c>
    </row>
    <row r="26" spans="1:8" ht="37.5">
      <c r="A26" s="1174"/>
      <c r="B26" s="1328"/>
      <c r="C26" s="1175"/>
      <c r="D26" s="797">
        <v>3</v>
      </c>
      <c r="E26" s="804" t="s">
        <v>1467</v>
      </c>
      <c r="F26" s="814">
        <v>0.11</v>
      </c>
      <c r="G26" s="798"/>
      <c r="H26" s="807">
        <f t="shared" si="0"/>
        <v>0</v>
      </c>
    </row>
    <row r="27" spans="1:8" ht="20.25" customHeight="1">
      <c r="A27" s="1174"/>
      <c r="B27" s="1328"/>
      <c r="C27" s="1175"/>
      <c r="D27" s="797">
        <v>4</v>
      </c>
      <c r="E27" s="804" t="s">
        <v>2143</v>
      </c>
      <c r="F27" s="814">
        <v>0.18</v>
      </c>
      <c r="G27" s="798"/>
      <c r="H27" s="807">
        <f t="shared" si="0"/>
        <v>0</v>
      </c>
    </row>
    <row r="28" spans="1:8" ht="41.25" customHeight="1">
      <c r="A28" s="1174"/>
      <c r="B28" s="1328"/>
      <c r="C28" s="1175"/>
      <c r="D28" s="797">
        <v>5</v>
      </c>
      <c r="E28" s="804" t="s">
        <v>1468</v>
      </c>
      <c r="F28" s="814">
        <v>0.23</v>
      </c>
      <c r="G28" s="798"/>
      <c r="H28" s="807">
        <f t="shared" si="0"/>
        <v>0</v>
      </c>
    </row>
    <row r="29" spans="1:8" ht="58.5" customHeight="1">
      <c r="A29" s="1174"/>
      <c r="B29" s="1328"/>
      <c r="C29" s="1175"/>
      <c r="D29" s="797">
        <v>6</v>
      </c>
      <c r="E29" s="804" t="s">
        <v>1469</v>
      </c>
      <c r="F29" s="814">
        <v>0.23</v>
      </c>
      <c r="G29" s="798"/>
      <c r="H29" s="807">
        <f t="shared" si="0"/>
        <v>0</v>
      </c>
    </row>
    <row r="30" spans="1:8" ht="16.5" hidden="1" customHeight="1">
      <c r="A30" s="1174"/>
      <c r="B30" s="1328"/>
      <c r="C30" s="1175"/>
      <c r="D30" s="797">
        <v>5</v>
      </c>
      <c r="E30" s="804" t="s">
        <v>1468</v>
      </c>
      <c r="F30" s="814"/>
      <c r="G30" s="798"/>
      <c r="H30" s="807">
        <f t="shared" si="0"/>
        <v>0</v>
      </c>
    </row>
    <row r="31" spans="1:8" ht="18" hidden="1" customHeight="1">
      <c r="A31" s="1174"/>
      <c r="B31" s="1328"/>
      <c r="C31" s="1175"/>
      <c r="D31" s="797">
        <v>6</v>
      </c>
      <c r="E31" s="804" t="s">
        <v>1470</v>
      </c>
      <c r="F31" s="814"/>
      <c r="G31" s="798"/>
      <c r="H31" s="807">
        <f t="shared" si="0"/>
        <v>0</v>
      </c>
    </row>
    <row r="32" spans="1:8" ht="18" hidden="1" customHeight="1">
      <c r="A32" s="1174"/>
      <c r="B32" s="1328"/>
      <c r="C32" s="1175"/>
      <c r="D32" s="797">
        <v>7</v>
      </c>
      <c r="E32" s="804" t="s">
        <v>1471</v>
      </c>
      <c r="F32" s="814"/>
      <c r="G32" s="798"/>
      <c r="H32" s="807">
        <f t="shared" si="0"/>
        <v>0</v>
      </c>
    </row>
    <row r="33" spans="1:8" ht="18" hidden="1" customHeight="1">
      <c r="A33" s="1174"/>
      <c r="B33" s="1328"/>
      <c r="C33" s="1175"/>
      <c r="D33" s="797">
        <v>8</v>
      </c>
      <c r="E33" s="804"/>
      <c r="F33" s="814"/>
      <c r="G33" s="798"/>
      <c r="H33" s="807">
        <f t="shared" si="0"/>
        <v>0</v>
      </c>
    </row>
    <row r="34" spans="1:8" ht="18" hidden="1" customHeight="1">
      <c r="A34" s="1174"/>
      <c r="B34" s="1328"/>
      <c r="C34" s="1175"/>
      <c r="D34" s="797"/>
      <c r="E34" s="804"/>
      <c r="F34" s="814"/>
      <c r="G34" s="798"/>
      <c r="H34" s="807">
        <f t="shared" si="0"/>
        <v>0</v>
      </c>
    </row>
    <row r="35" spans="1:8" ht="24.75" customHeight="1">
      <c r="A35" s="1174"/>
      <c r="B35" s="1328"/>
      <c r="C35" s="1175"/>
      <c r="D35" s="797"/>
      <c r="E35" s="804"/>
      <c r="F35" s="815">
        <f>SUM(F24:F34)</f>
        <v>1</v>
      </c>
      <c r="G35" s="809"/>
      <c r="H35" s="805">
        <f>SUM(H24:H29)*C24</f>
        <v>0</v>
      </c>
    </row>
    <row r="36" spans="1:8" ht="75.75" customHeight="1">
      <c r="A36" s="1174">
        <v>6</v>
      </c>
      <c r="B36" s="1328" t="s">
        <v>1472</v>
      </c>
      <c r="C36" s="1175">
        <v>0.21</v>
      </c>
      <c r="D36" s="797">
        <v>1</v>
      </c>
      <c r="E36" s="804" t="s">
        <v>2144</v>
      </c>
      <c r="F36" s="814">
        <v>0.33</v>
      </c>
      <c r="G36" s="798"/>
      <c r="H36" s="807">
        <f t="shared" si="0"/>
        <v>0</v>
      </c>
    </row>
    <row r="37" spans="1:8" ht="133.5" customHeight="1">
      <c r="A37" s="1174"/>
      <c r="B37" s="1328"/>
      <c r="C37" s="1175"/>
      <c r="D37" s="797">
        <v>2</v>
      </c>
      <c r="E37" s="804" t="s">
        <v>2145</v>
      </c>
      <c r="F37" s="814">
        <v>0.67</v>
      </c>
      <c r="G37" s="798"/>
      <c r="H37" s="798">
        <f t="shared" si="0"/>
        <v>0</v>
      </c>
    </row>
    <row r="38" spans="1:8" ht="18.75">
      <c r="A38" s="1174"/>
      <c r="B38" s="1328"/>
      <c r="C38" s="1175"/>
      <c r="D38" s="797"/>
      <c r="E38" s="804"/>
      <c r="F38" s="815">
        <f>SUM(F36:F37)</f>
        <v>1</v>
      </c>
      <c r="G38" s="809"/>
      <c r="H38" s="805">
        <f>SUM(H36:H37)*C36</f>
        <v>0</v>
      </c>
    </row>
    <row r="39" spans="1:8" ht="56.25" customHeight="1">
      <c r="A39" s="1174">
        <v>7</v>
      </c>
      <c r="B39" s="1328" t="s">
        <v>203</v>
      </c>
      <c r="C39" s="1175">
        <v>0.12</v>
      </c>
      <c r="D39" s="797">
        <v>1</v>
      </c>
      <c r="E39" s="804" t="s">
        <v>2146</v>
      </c>
      <c r="F39" s="814">
        <v>0.08</v>
      </c>
      <c r="G39" s="798"/>
      <c r="H39" s="807">
        <f t="shared" si="0"/>
        <v>0</v>
      </c>
    </row>
    <row r="40" spans="1:8" ht="75.75" customHeight="1">
      <c r="A40" s="1174"/>
      <c r="B40" s="1328"/>
      <c r="C40" s="1175"/>
      <c r="D40" s="797">
        <v>2</v>
      </c>
      <c r="E40" s="625" t="s">
        <v>2147</v>
      </c>
      <c r="F40" s="814">
        <v>0.08</v>
      </c>
      <c r="G40" s="798"/>
      <c r="H40" s="807">
        <f t="shared" si="0"/>
        <v>0</v>
      </c>
    </row>
    <row r="41" spans="1:8" ht="56.25" customHeight="1">
      <c r="A41" s="1174"/>
      <c r="B41" s="1328"/>
      <c r="C41" s="1175"/>
      <c r="D41" s="797">
        <v>3</v>
      </c>
      <c r="E41" s="804" t="s">
        <v>2148</v>
      </c>
      <c r="F41" s="814">
        <v>0.12</v>
      </c>
      <c r="G41" s="798"/>
      <c r="H41" s="807">
        <f t="shared" si="0"/>
        <v>0</v>
      </c>
    </row>
    <row r="42" spans="1:8" ht="111.75" customHeight="1">
      <c r="A42" s="1174"/>
      <c r="B42" s="1328"/>
      <c r="C42" s="1175"/>
      <c r="D42" s="797">
        <v>4</v>
      </c>
      <c r="E42" s="804" t="s">
        <v>2149</v>
      </c>
      <c r="F42" s="814">
        <v>0.23</v>
      </c>
      <c r="G42" s="814"/>
      <c r="H42" s="807">
        <f t="shared" si="0"/>
        <v>0</v>
      </c>
    </row>
    <row r="43" spans="1:8" ht="150" customHeight="1">
      <c r="A43" s="1174"/>
      <c r="B43" s="1328"/>
      <c r="C43" s="1175"/>
      <c r="D43" s="797">
        <v>5</v>
      </c>
      <c r="E43" s="804" t="s">
        <v>2150</v>
      </c>
      <c r="F43" s="814">
        <v>0.25</v>
      </c>
      <c r="G43" s="814"/>
      <c r="H43" s="807">
        <f t="shared" si="0"/>
        <v>0</v>
      </c>
    </row>
    <row r="44" spans="1:8" ht="36.75" customHeight="1">
      <c r="A44" s="1174"/>
      <c r="B44" s="1328"/>
      <c r="C44" s="1175"/>
      <c r="D44" s="797">
        <v>6</v>
      </c>
      <c r="E44" s="804" t="s">
        <v>2151</v>
      </c>
      <c r="F44" s="814">
        <v>0.24</v>
      </c>
      <c r="G44" s="814"/>
      <c r="H44" s="807">
        <f t="shared" si="0"/>
        <v>0</v>
      </c>
    </row>
    <row r="45" spans="1:8" ht="18.75">
      <c r="A45" s="1174"/>
      <c r="B45" s="1328"/>
      <c r="C45" s="1175"/>
      <c r="D45" s="797"/>
      <c r="E45" s="804"/>
      <c r="F45" s="811">
        <f>SUM(F39:F44)</f>
        <v>1</v>
      </c>
      <c r="G45" s="809"/>
      <c r="H45" s="805">
        <f>SUM(H39:H44)*C39</f>
        <v>0</v>
      </c>
    </row>
    <row r="46" spans="1:8" ht="23.25" customHeight="1">
      <c r="A46" s="1136" t="s">
        <v>443</v>
      </c>
      <c r="B46" s="1136"/>
      <c r="C46" s="1136"/>
      <c r="D46" s="1136"/>
      <c r="E46" s="1136"/>
      <c r="F46" s="1136"/>
      <c r="G46" s="819"/>
      <c r="H46" s="807">
        <f>H6+H10+H15+H23+H35+H38+H45</f>
        <v>0</v>
      </c>
    </row>
    <row r="47" spans="1:8" ht="26.25" customHeight="1">
      <c r="A47" s="1136" t="s">
        <v>444</v>
      </c>
      <c r="B47" s="1136"/>
      <c r="C47" s="1136"/>
      <c r="D47" s="1136"/>
      <c r="E47" s="1136"/>
      <c r="F47" s="1136"/>
      <c r="G47" s="819"/>
      <c r="H47" s="820" t="str">
        <f>IF(H46&lt;=0.65,"низький",IF(H46&lt;=0.75,"середній",IF(H46&lt;=0.95,"достатній","високий")))</f>
        <v>низький</v>
      </c>
    </row>
    <row r="48" spans="1:8" s="302" customFormat="1" ht="15.75">
      <c r="A48" s="288" t="s">
        <v>182</v>
      </c>
      <c r="B48" s="289"/>
      <c r="C48" s="342"/>
      <c r="E48" s="343"/>
      <c r="F48" s="344"/>
      <c r="G48" s="112"/>
    </row>
    <row r="49" spans="1:7" s="302" customFormat="1" ht="17.25">
      <c r="A49" s="345" t="s">
        <v>589</v>
      </c>
      <c r="B49" s="346"/>
      <c r="C49" s="347"/>
      <c r="D49" s="303"/>
      <c r="E49" s="348"/>
      <c r="F49" s="349"/>
      <c r="G49" s="112"/>
    </row>
    <row r="50" spans="1:7" s="302" customFormat="1" ht="17.25">
      <c r="A50" s="345" t="s">
        <v>590</v>
      </c>
      <c r="B50" s="346"/>
      <c r="C50" s="347"/>
      <c r="D50" s="303"/>
      <c r="E50" s="348"/>
      <c r="F50" s="349"/>
      <c r="G50" s="112"/>
    </row>
    <row r="51" spans="1:7" s="302" customFormat="1" ht="17.25">
      <c r="A51" s="345" t="s">
        <v>591</v>
      </c>
      <c r="B51" s="346"/>
      <c r="C51" s="347"/>
      <c r="D51" s="303"/>
      <c r="E51" s="348"/>
      <c r="F51" s="349"/>
      <c r="G51" s="112"/>
    </row>
    <row r="52" spans="1:7" s="302" customFormat="1" ht="17.25">
      <c r="A52" s="345" t="s">
        <v>592</v>
      </c>
      <c r="B52" s="346"/>
      <c r="C52" s="347"/>
      <c r="D52" s="303"/>
      <c r="E52" s="348"/>
      <c r="F52" s="349"/>
      <c r="G52" s="112"/>
    </row>
    <row r="53" spans="1:7" s="302" customFormat="1" ht="17.25">
      <c r="A53" s="345" t="s">
        <v>593</v>
      </c>
      <c r="B53" s="346"/>
      <c r="C53" s="347"/>
      <c r="D53" s="303"/>
      <c r="E53" s="348"/>
      <c r="F53" s="349"/>
      <c r="G53" s="112"/>
    </row>
    <row r="54" spans="1:7" s="302" customFormat="1" ht="17.25">
      <c r="A54" s="345" t="s">
        <v>594</v>
      </c>
      <c r="B54" s="346"/>
      <c r="C54" s="347"/>
      <c r="D54" s="303"/>
      <c r="E54" s="348"/>
      <c r="F54" s="349"/>
      <c r="G54" s="112"/>
    </row>
    <row r="55" spans="1:7" s="302" customFormat="1" ht="17.25">
      <c r="A55" s="345" t="s">
        <v>595</v>
      </c>
      <c r="B55" s="346"/>
      <c r="C55" s="347"/>
      <c r="D55" s="303"/>
      <c r="E55" s="348"/>
      <c r="F55" s="349"/>
      <c r="G55" s="112"/>
    </row>
    <row r="56" spans="1:7" s="302" customFormat="1" ht="15.75">
      <c r="A56" s="350" t="s">
        <v>596</v>
      </c>
      <c r="B56" s="346"/>
      <c r="C56" s="347"/>
      <c r="D56" s="303"/>
      <c r="E56" s="348"/>
      <c r="F56" s="349"/>
      <c r="G56" s="112"/>
    </row>
    <row r="57" spans="1:7" s="302" customFormat="1" ht="15.75">
      <c r="A57" s="345" t="s">
        <v>597</v>
      </c>
      <c r="B57" s="346"/>
      <c r="C57" s="347"/>
      <c r="D57" s="303"/>
      <c r="E57" s="348"/>
      <c r="F57" s="349"/>
      <c r="G57" s="112"/>
    </row>
    <row r="58" spans="1:7" s="302" customFormat="1" ht="15.75">
      <c r="A58" s="288" t="s">
        <v>792</v>
      </c>
      <c r="B58" s="346"/>
      <c r="C58" s="347"/>
      <c r="D58" s="303"/>
      <c r="E58" s="348"/>
      <c r="F58" s="349"/>
      <c r="G58" s="112"/>
    </row>
    <row r="59" spans="1:7" s="302" customFormat="1" ht="15.75">
      <c r="A59" s="288" t="s">
        <v>793</v>
      </c>
      <c r="B59" s="346"/>
      <c r="C59" s="347"/>
      <c r="D59" s="303"/>
      <c r="E59" s="348"/>
      <c r="F59" s="349"/>
      <c r="G59" s="112"/>
    </row>
    <row r="60" spans="1:7" s="302" customFormat="1" ht="15.75">
      <c r="A60" s="288" t="s">
        <v>794</v>
      </c>
      <c r="B60" s="346"/>
      <c r="C60" s="347"/>
      <c r="D60" s="303"/>
      <c r="E60" s="348"/>
      <c r="F60" s="349"/>
      <c r="G60" s="112"/>
    </row>
    <row r="61" spans="1:7" s="302" customFormat="1" ht="15.75">
      <c r="A61" s="342"/>
      <c r="B61" s="342" t="s">
        <v>20</v>
      </c>
      <c r="C61" s="342"/>
      <c r="D61" s="342"/>
      <c r="E61" s="342"/>
      <c r="F61" s="342"/>
      <c r="G61" s="342"/>
    </row>
    <row r="62" spans="1:7" s="302" customFormat="1" ht="15.75">
      <c r="A62" s="351"/>
      <c r="B62" s="351"/>
      <c r="C62" s="351"/>
      <c r="D62" s="351"/>
      <c r="E62" s="351"/>
      <c r="F62" s="351"/>
      <c r="G62" s="351"/>
    </row>
    <row r="63" spans="1:7" s="302" customFormat="1" ht="15.75">
      <c r="A63" s="351"/>
      <c r="B63" s="351"/>
      <c r="C63" s="351"/>
      <c r="D63" s="351"/>
      <c r="E63" s="351"/>
      <c r="F63" s="351"/>
      <c r="G63" s="351"/>
    </row>
    <row r="64" spans="1:7" s="302" customFormat="1" ht="15.75">
      <c r="A64" s="351"/>
      <c r="B64" s="351"/>
      <c r="C64" s="351"/>
      <c r="D64" s="351"/>
      <c r="E64" s="351"/>
      <c r="F64" s="351"/>
      <c r="G64" s="351"/>
    </row>
    <row r="65" spans="1:7" s="302" customFormat="1" ht="15.75">
      <c r="A65" s="351"/>
      <c r="B65" s="351"/>
      <c r="C65" s="351"/>
      <c r="D65" s="351"/>
      <c r="E65" s="351"/>
      <c r="F65" s="351"/>
      <c r="G65" s="351"/>
    </row>
    <row r="66" spans="1:7" s="302" customFormat="1" ht="15.75">
      <c r="A66" s="351"/>
      <c r="B66" s="351"/>
      <c r="C66" s="351"/>
      <c r="D66" s="351"/>
      <c r="E66" s="351"/>
      <c r="F66" s="351"/>
      <c r="G66" s="351"/>
    </row>
    <row r="67" spans="1:7" s="302" customFormat="1" ht="15.75">
      <c r="A67" s="351"/>
      <c r="B67" s="351"/>
      <c r="C67" s="351"/>
      <c r="D67" s="351"/>
      <c r="E67" s="351"/>
      <c r="F67" s="351"/>
      <c r="G67" s="351"/>
    </row>
    <row r="68" spans="1:7" s="302" customFormat="1" ht="15.75">
      <c r="A68" s="351"/>
      <c r="B68" s="351"/>
      <c r="C68" s="351"/>
      <c r="D68" s="351"/>
      <c r="E68" s="351"/>
      <c r="F68" s="351"/>
      <c r="G68" s="351"/>
    </row>
    <row r="69" spans="1:7" s="302" customFormat="1" ht="15.75">
      <c r="A69" s="351"/>
      <c r="B69" s="351"/>
      <c r="C69" s="351"/>
      <c r="D69" s="351"/>
      <c r="E69" s="351"/>
      <c r="F69" s="351"/>
      <c r="G69" s="351"/>
    </row>
    <row r="70" spans="1:7" s="302" customFormat="1" ht="15.75">
      <c r="A70" s="351"/>
      <c r="B70" s="351"/>
      <c r="C70" s="351"/>
      <c r="D70" s="351"/>
      <c r="E70" s="351"/>
      <c r="F70" s="351"/>
      <c r="G70" s="351"/>
    </row>
    <row r="71" spans="1:7" s="302" customFormat="1" ht="15.75">
      <c r="A71" s="351"/>
      <c r="B71" s="351"/>
      <c r="C71" s="351"/>
      <c r="D71" s="351"/>
      <c r="E71" s="351"/>
      <c r="F71" s="351"/>
      <c r="G71" s="351"/>
    </row>
    <row r="72" spans="1:7" s="302" customFormat="1" ht="15.75">
      <c r="A72" s="351"/>
      <c r="B72" s="351"/>
      <c r="C72" s="351"/>
      <c r="D72" s="351"/>
      <c r="E72" s="351"/>
      <c r="F72" s="351"/>
      <c r="G72" s="351"/>
    </row>
    <row r="73" spans="1:7" s="302" customFormat="1" ht="15.75">
      <c r="A73" s="351"/>
      <c r="B73" s="351"/>
      <c r="C73" s="351"/>
      <c r="D73" s="351"/>
      <c r="E73" s="351"/>
      <c r="F73" s="351"/>
      <c r="G73" s="351"/>
    </row>
    <row r="74" spans="1:7" s="302" customFormat="1" ht="15.75">
      <c r="A74" s="351"/>
      <c r="B74" s="351"/>
      <c r="C74" s="351"/>
      <c r="D74" s="351"/>
      <c r="E74" s="351"/>
      <c r="F74" s="351"/>
      <c r="G74" s="351"/>
    </row>
    <row r="75" spans="1:7" s="302" customFormat="1" ht="15.75">
      <c r="A75" s="351"/>
      <c r="B75" s="351"/>
      <c r="C75" s="351"/>
      <c r="D75" s="351"/>
      <c r="E75" s="351"/>
      <c r="F75" s="351"/>
      <c r="G75" s="351"/>
    </row>
    <row r="76" spans="1:7" s="302" customFormat="1" ht="15.75">
      <c r="A76" s="342"/>
      <c r="B76" s="352" t="s">
        <v>2418</v>
      </c>
      <c r="C76" s="352"/>
      <c r="D76" s="352"/>
      <c r="E76" s="352"/>
      <c r="F76" s="352"/>
      <c r="G76" s="352"/>
    </row>
    <row r="77" spans="1:7" s="302" customFormat="1" ht="15.75">
      <c r="A77" s="342"/>
      <c r="B77" s="353"/>
      <c r="C77" s="353"/>
      <c r="D77" s="353"/>
      <c r="E77" s="353"/>
      <c r="F77" s="353"/>
      <c r="G77" s="353"/>
    </row>
    <row r="78" spans="1:7" s="302" customFormat="1" ht="15.75">
      <c r="A78" s="342"/>
      <c r="B78" s="352" t="s">
        <v>22</v>
      </c>
      <c r="C78" s="352"/>
      <c r="D78" s="352"/>
      <c r="E78" s="352"/>
      <c r="F78" s="352"/>
      <c r="G78" s="352"/>
    </row>
    <row r="79" spans="1:7" s="302" customFormat="1" ht="15.75">
      <c r="A79" s="342"/>
      <c r="B79" s="353"/>
      <c r="C79" s="353"/>
      <c r="D79" s="353"/>
      <c r="E79" s="353"/>
      <c r="F79" s="353"/>
      <c r="G79" s="353"/>
    </row>
    <row r="80" spans="1:7" s="302" customFormat="1" ht="15.75">
      <c r="A80" s="342"/>
      <c r="B80" s="352" t="s">
        <v>23</v>
      </c>
      <c r="C80" s="352"/>
      <c r="D80" s="352"/>
      <c r="E80" s="352"/>
      <c r="F80" s="352"/>
      <c r="G80" s="352"/>
    </row>
    <row r="81" spans="1:7" s="302" customFormat="1" ht="15.75">
      <c r="A81" s="342"/>
      <c r="B81" s="352" t="s">
        <v>24</v>
      </c>
      <c r="C81" s="352"/>
      <c r="D81" s="352"/>
      <c r="E81" s="352"/>
      <c r="F81" s="352"/>
      <c r="G81" s="352"/>
    </row>
    <row r="82" spans="1:7" s="303" customFormat="1" ht="15.75">
      <c r="A82" s="346"/>
      <c r="B82" s="346"/>
      <c r="E82" s="333"/>
    </row>
  </sheetData>
  <mergeCells count="24">
    <mergeCell ref="A47:F47"/>
    <mergeCell ref="A24:A35"/>
    <mergeCell ref="B24:B35"/>
    <mergeCell ref="C24:C35"/>
    <mergeCell ref="A36:A38"/>
    <mergeCell ref="B36:B38"/>
    <mergeCell ref="A39:A45"/>
    <mergeCell ref="B39:B45"/>
    <mergeCell ref="C39:C45"/>
    <mergeCell ref="A46:F46"/>
    <mergeCell ref="C36:C38"/>
    <mergeCell ref="A11:A15"/>
    <mergeCell ref="B11:B15"/>
    <mergeCell ref="C11:C15"/>
    <mergeCell ref="A16:A23"/>
    <mergeCell ref="B16:B23"/>
    <mergeCell ref="C16:C23"/>
    <mergeCell ref="A2:H2"/>
    <mergeCell ref="A4:A6"/>
    <mergeCell ref="B4:B6"/>
    <mergeCell ref="C4:C6"/>
    <mergeCell ref="A7:A10"/>
    <mergeCell ref="B7:B10"/>
    <mergeCell ref="C7:C10"/>
  </mergeCells>
  <phoneticPr fontId="4" type="noConversion"/>
  <pageMargins left="0.7" right="0.7" top="0.75" bottom="0.75" header="0.3" footer="0.3"/>
  <pageSetup paperSize="9" scale="55" orientation="portrait" r:id="rId1"/>
</worksheet>
</file>

<file path=xl/worksheets/sheet32.xml><?xml version="1.0" encoding="utf-8"?>
<worksheet xmlns="http://schemas.openxmlformats.org/spreadsheetml/2006/main" xmlns:r="http://schemas.openxmlformats.org/officeDocument/2006/relationships">
  <dimension ref="A1:H102"/>
  <sheetViews>
    <sheetView workbookViewId="0">
      <selection activeCell="G5" sqref="G5"/>
    </sheetView>
  </sheetViews>
  <sheetFormatPr defaultRowHeight="15.75"/>
  <cols>
    <col min="1" max="1" width="6.140625" style="273" customWidth="1"/>
    <col min="2" max="2" width="25.140625" style="274" customWidth="1"/>
    <col min="3" max="3" width="13.5703125" style="275" customWidth="1"/>
    <col min="4" max="4" width="6.42578125" style="736" customWidth="1"/>
    <col min="5" max="5" width="42.28515625" style="8" customWidth="1"/>
    <col min="6" max="6" width="16.42578125" style="276" customWidth="1"/>
    <col min="7" max="7" width="17.7109375" style="273" customWidth="1"/>
    <col min="8" max="8" width="13.7109375" style="275" customWidth="1"/>
    <col min="9" max="16384" width="9.140625" style="273"/>
  </cols>
  <sheetData>
    <row r="1" spans="1:8" ht="15.75" customHeight="1">
      <c r="A1" s="1186" t="s">
        <v>446</v>
      </c>
      <c r="B1" s="1186"/>
      <c r="C1" s="1186"/>
      <c r="D1" s="1186"/>
      <c r="E1" s="1186"/>
      <c r="F1" s="1186"/>
      <c r="G1" s="1186"/>
      <c r="H1" s="1186"/>
    </row>
    <row r="2" spans="1:8" ht="55.5" customHeight="1">
      <c r="A2" s="1186" t="s">
        <v>1970</v>
      </c>
      <c r="B2" s="1186"/>
      <c r="C2" s="1186"/>
      <c r="D2" s="1186"/>
      <c r="E2" s="1186"/>
      <c r="F2" s="1186"/>
      <c r="G2" s="1186"/>
      <c r="H2" s="1186"/>
    </row>
    <row r="3" spans="1:8" hidden="1"/>
    <row r="4" spans="1:8" ht="71.25" customHeight="1">
      <c r="A4" s="5" t="s">
        <v>434</v>
      </c>
      <c r="B4" s="5" t="s">
        <v>1971</v>
      </c>
      <c r="C4" s="737" t="s">
        <v>1972</v>
      </c>
      <c r="D4" s="5"/>
      <c r="E4" s="738" t="s">
        <v>1973</v>
      </c>
      <c r="F4" s="737" t="s">
        <v>1974</v>
      </c>
      <c r="G4" s="5" t="s">
        <v>399</v>
      </c>
      <c r="H4" s="737" t="s">
        <v>1975</v>
      </c>
    </row>
    <row r="5" spans="1:8" ht="31.5" customHeight="1">
      <c r="A5" s="1315">
        <v>1</v>
      </c>
      <c r="B5" s="1318" t="s">
        <v>1976</v>
      </c>
      <c r="C5" s="1321">
        <v>0.09</v>
      </c>
      <c r="D5" s="310">
        <v>1</v>
      </c>
      <c r="E5" s="270" t="s">
        <v>1977</v>
      </c>
      <c r="F5" s="278">
        <f>1/15</f>
        <v>6.6666666666666666E-2</v>
      </c>
      <c r="G5" s="1"/>
      <c r="H5" s="279">
        <f>F5*G5</f>
        <v>0</v>
      </c>
    </row>
    <row r="6" spans="1:8" ht="38.25" customHeight="1">
      <c r="A6" s="1316"/>
      <c r="B6" s="1319"/>
      <c r="C6" s="1322"/>
      <c r="D6" s="310">
        <v>2</v>
      </c>
      <c r="E6" s="277" t="s">
        <v>1978</v>
      </c>
      <c r="F6" s="278">
        <f>2.5/15</f>
        <v>0.16666666666666666</v>
      </c>
      <c r="G6" s="1"/>
      <c r="H6" s="279">
        <f>F6*G6</f>
        <v>0</v>
      </c>
    </row>
    <row r="7" spans="1:8" ht="97.5" customHeight="1">
      <c r="A7" s="1316"/>
      <c r="B7" s="1319"/>
      <c r="C7" s="1322"/>
      <c r="D7" s="310">
        <v>3</v>
      </c>
      <c r="E7" s="739" t="s">
        <v>1979</v>
      </c>
      <c r="F7" s="278">
        <f>3.5/15</f>
        <v>0.23333333333333334</v>
      </c>
      <c r="G7" s="1"/>
      <c r="H7" s="279">
        <f>F7*G7</f>
        <v>0</v>
      </c>
    </row>
    <row r="8" spans="1:8" ht="63" customHeight="1">
      <c r="A8" s="1316"/>
      <c r="B8" s="1319"/>
      <c r="C8" s="1322"/>
      <c r="D8" s="310">
        <v>4</v>
      </c>
      <c r="E8" s="261" t="s">
        <v>1980</v>
      </c>
      <c r="F8" s="278">
        <f>4/15</f>
        <v>0.26666666666666666</v>
      </c>
      <c r="G8" s="1"/>
      <c r="H8" s="279">
        <f>F8*G8</f>
        <v>0</v>
      </c>
    </row>
    <row r="9" spans="1:8" ht="33.75" customHeight="1">
      <c r="A9" s="1316"/>
      <c r="B9" s="1319"/>
      <c r="C9" s="1323"/>
      <c r="D9" s="310">
        <v>5</v>
      </c>
      <c r="E9" s="282" t="s">
        <v>1981</v>
      </c>
      <c r="F9" s="278">
        <f>4/15</f>
        <v>0.26666666666666666</v>
      </c>
      <c r="G9" s="1"/>
      <c r="H9" s="279">
        <f>F9*G9</f>
        <v>0</v>
      </c>
    </row>
    <row r="10" spans="1:8" ht="16.5" customHeight="1">
      <c r="A10" s="87"/>
      <c r="B10" s="88" t="s">
        <v>1982</v>
      </c>
      <c r="C10" s="280"/>
      <c r="D10" s="89">
        <f>SUM(D5:D9)</f>
        <v>15</v>
      </c>
      <c r="E10" s="90"/>
      <c r="F10" s="280">
        <f>SUM(F5:F9)</f>
        <v>1</v>
      </c>
      <c r="G10" s="89"/>
      <c r="H10" s="280">
        <f>C5*SUM(H5:H9)</f>
        <v>0</v>
      </c>
    </row>
    <row r="11" spans="1:8" ht="64.5" customHeight="1">
      <c r="A11" s="1315">
        <v>2</v>
      </c>
      <c r="B11" s="1318" t="s">
        <v>1983</v>
      </c>
      <c r="C11" s="1321">
        <v>0.16</v>
      </c>
      <c r="D11" s="310">
        <v>1</v>
      </c>
      <c r="E11" s="739" t="s">
        <v>1984</v>
      </c>
      <c r="F11" s="278">
        <f>3/6</f>
        <v>0.5</v>
      </c>
      <c r="G11" s="1"/>
      <c r="H11" s="279">
        <f>F11*G11</f>
        <v>0</v>
      </c>
    </row>
    <row r="12" spans="1:8" ht="66" customHeight="1">
      <c r="A12" s="1316"/>
      <c r="B12" s="1319"/>
      <c r="C12" s="1322"/>
      <c r="D12" s="310">
        <v>2</v>
      </c>
      <c r="E12" s="739" t="s">
        <v>1985</v>
      </c>
      <c r="F12" s="278">
        <f>2/6</f>
        <v>0.33333333333333331</v>
      </c>
      <c r="G12" s="1"/>
      <c r="H12" s="279">
        <f>F12*G12</f>
        <v>0</v>
      </c>
    </row>
    <row r="13" spans="1:8" ht="47.25">
      <c r="A13" s="1317"/>
      <c r="B13" s="1320"/>
      <c r="C13" s="1323"/>
      <c r="D13" s="310">
        <v>3</v>
      </c>
      <c r="E13" s="86" t="s">
        <v>271</v>
      </c>
      <c r="F13" s="278">
        <f>1/6</f>
        <v>0.16666666666666666</v>
      </c>
      <c r="G13" s="1"/>
      <c r="H13" s="279">
        <f>F13*G13</f>
        <v>0</v>
      </c>
    </row>
    <row r="14" spans="1:8" ht="15.75" customHeight="1">
      <c r="A14" s="87"/>
      <c r="B14" s="88" t="s">
        <v>1982</v>
      </c>
      <c r="C14" s="280"/>
      <c r="D14" s="89">
        <f>SUM(D11:D13)</f>
        <v>6</v>
      </c>
      <c r="E14" s="90"/>
      <c r="F14" s="280">
        <f>SUM(F11:F13)</f>
        <v>0.99999999999999989</v>
      </c>
      <c r="G14" s="89"/>
      <c r="H14" s="280">
        <f>C11*SUM(H11:H13)</f>
        <v>0</v>
      </c>
    </row>
    <row r="15" spans="1:8" ht="101.25" customHeight="1">
      <c r="A15" s="1315">
        <v>3</v>
      </c>
      <c r="B15" s="1318" t="s">
        <v>1986</v>
      </c>
      <c r="C15" s="1321">
        <v>0.09</v>
      </c>
      <c r="D15" s="310">
        <v>1</v>
      </c>
      <c r="E15" s="86" t="s">
        <v>1987</v>
      </c>
      <c r="F15" s="278">
        <f>3/6</f>
        <v>0.5</v>
      </c>
      <c r="G15" s="1"/>
      <c r="H15" s="279">
        <f>F15*G15</f>
        <v>0</v>
      </c>
    </row>
    <row r="16" spans="1:8" ht="63">
      <c r="A16" s="1316"/>
      <c r="B16" s="1319"/>
      <c r="C16" s="1322"/>
      <c r="D16" s="310">
        <v>2</v>
      </c>
      <c r="E16" s="86" t="s">
        <v>1988</v>
      </c>
      <c r="F16" s="278">
        <f>2/6</f>
        <v>0.33333333333333331</v>
      </c>
      <c r="G16" s="1"/>
      <c r="H16" s="279">
        <f>F16*G16</f>
        <v>0</v>
      </c>
    </row>
    <row r="17" spans="1:8" ht="63">
      <c r="A17" s="1317"/>
      <c r="B17" s="1320"/>
      <c r="C17" s="1323"/>
      <c r="D17" s="310">
        <v>3</v>
      </c>
      <c r="E17" s="2" t="s">
        <v>1989</v>
      </c>
      <c r="F17" s="278">
        <f>1/6</f>
        <v>0.16666666666666666</v>
      </c>
      <c r="G17" s="1"/>
      <c r="H17" s="279">
        <f>F17*G17</f>
        <v>0</v>
      </c>
    </row>
    <row r="18" spans="1:8" ht="15.75" customHeight="1">
      <c r="A18" s="87"/>
      <c r="B18" s="88" t="s">
        <v>1982</v>
      </c>
      <c r="C18" s="280"/>
      <c r="D18" s="89">
        <f>SUM(D15:D17)</f>
        <v>6</v>
      </c>
      <c r="E18" s="90"/>
      <c r="F18" s="280">
        <f>SUM(F15:F17)</f>
        <v>0.99999999999999989</v>
      </c>
      <c r="G18" s="89"/>
      <c r="H18" s="280">
        <f>C15*SUM(H15:H17)</f>
        <v>0</v>
      </c>
    </row>
    <row r="19" spans="1:8" ht="114.75" customHeight="1">
      <c r="A19" s="1315">
        <v>4</v>
      </c>
      <c r="B19" s="1318" t="s">
        <v>1990</v>
      </c>
      <c r="C19" s="1321">
        <v>7.0000000000000007E-2</v>
      </c>
      <c r="D19" s="310">
        <v>1</v>
      </c>
      <c r="E19" s="86" t="s">
        <v>1991</v>
      </c>
      <c r="F19" s="278">
        <f>2/3</f>
        <v>0.66666666666666663</v>
      </c>
      <c r="G19" s="1"/>
      <c r="H19" s="279">
        <f>F19*G19</f>
        <v>0</v>
      </c>
    </row>
    <row r="20" spans="1:8" ht="23.25" customHeight="1">
      <c r="A20" s="1317"/>
      <c r="B20" s="1320"/>
      <c r="C20" s="1323"/>
      <c r="D20" s="310">
        <v>2</v>
      </c>
      <c r="E20" s="86" t="s">
        <v>702</v>
      </c>
      <c r="F20" s="278">
        <f>1/3</f>
        <v>0.33333333333333331</v>
      </c>
      <c r="G20" s="1"/>
      <c r="H20" s="279">
        <f>F20*G20</f>
        <v>0</v>
      </c>
    </row>
    <row r="21" spans="1:8" ht="15.75" customHeight="1">
      <c r="A21" s="87"/>
      <c r="B21" s="88" t="s">
        <v>1982</v>
      </c>
      <c r="C21" s="280"/>
      <c r="D21" s="89">
        <f>SUM(D19:D20)</f>
        <v>3</v>
      </c>
      <c r="E21" s="90"/>
      <c r="F21" s="89">
        <f>SUM(F19:F20)</f>
        <v>1</v>
      </c>
      <c r="G21" s="89"/>
      <c r="H21" s="280">
        <f>C19*SUM(H19:H20)</f>
        <v>0</v>
      </c>
    </row>
    <row r="22" spans="1:8" ht="92.25" customHeight="1">
      <c r="A22" s="1329">
        <v>5</v>
      </c>
      <c r="B22" s="1318" t="s">
        <v>128</v>
      </c>
      <c r="C22" s="1321">
        <v>0.15</v>
      </c>
      <c r="D22" s="310">
        <v>1</v>
      </c>
      <c r="E22" s="86" t="s">
        <v>1992</v>
      </c>
      <c r="F22" s="278">
        <f>3/6</f>
        <v>0.5</v>
      </c>
      <c r="G22" s="1"/>
      <c r="H22" s="279">
        <f>F22*G22</f>
        <v>0</v>
      </c>
    </row>
    <row r="23" spans="1:8" ht="15.75" customHeight="1">
      <c r="A23" s="1330"/>
      <c r="B23" s="1319"/>
      <c r="C23" s="1322"/>
      <c r="D23" s="310">
        <v>2</v>
      </c>
      <c r="E23" s="86" t="s">
        <v>702</v>
      </c>
      <c r="F23" s="278">
        <f>1/6</f>
        <v>0.16666666666666666</v>
      </c>
      <c r="G23" s="1"/>
      <c r="H23" s="279">
        <f>F23*G23</f>
        <v>0</v>
      </c>
    </row>
    <row r="24" spans="1:8" ht="35.25" customHeight="1">
      <c r="A24" s="1331"/>
      <c r="B24" s="1319"/>
      <c r="C24" s="1323"/>
      <c r="D24" s="310">
        <v>3</v>
      </c>
      <c r="E24" s="86" t="s">
        <v>1993</v>
      </c>
      <c r="F24" s="278">
        <f>2/6</f>
        <v>0.33333333333333331</v>
      </c>
      <c r="G24" s="1"/>
      <c r="H24" s="279">
        <f>F24*G24</f>
        <v>0</v>
      </c>
    </row>
    <row r="25" spans="1:8" ht="15.75" customHeight="1">
      <c r="A25" s="87"/>
      <c r="B25" s="88" t="s">
        <v>1982</v>
      </c>
      <c r="C25" s="280"/>
      <c r="D25" s="89">
        <f>SUM(D22:D24)</f>
        <v>6</v>
      </c>
      <c r="E25" s="90"/>
      <c r="F25" s="280">
        <f>SUM(F22:F24)</f>
        <v>1</v>
      </c>
      <c r="G25" s="89"/>
      <c r="H25" s="280">
        <f>C23*SUM(H23:H24)</f>
        <v>0</v>
      </c>
    </row>
    <row r="26" spans="1:8" ht="30" customHeight="1">
      <c r="A26" s="1315">
        <v>6</v>
      </c>
      <c r="B26" s="1318" t="s">
        <v>1994</v>
      </c>
      <c r="C26" s="1321">
        <v>0.15</v>
      </c>
      <c r="D26" s="653">
        <v>1</v>
      </c>
      <c r="E26" s="2" t="s">
        <v>1995</v>
      </c>
      <c r="F26" s="278">
        <f>7/55</f>
        <v>0.12727272727272726</v>
      </c>
      <c r="G26" s="1"/>
      <c r="H26" s="279">
        <f>F26*G26</f>
        <v>0</v>
      </c>
    </row>
    <row r="27" spans="1:8" ht="48" customHeight="1">
      <c r="A27" s="1316"/>
      <c r="B27" s="1319"/>
      <c r="C27" s="1322"/>
      <c r="D27" s="653">
        <v>2</v>
      </c>
      <c r="E27" s="2" t="s">
        <v>1996</v>
      </c>
      <c r="F27" s="278">
        <f>6/55</f>
        <v>0.10909090909090909</v>
      </c>
      <c r="G27" s="1"/>
      <c r="H27" s="279">
        <f>F27*G27</f>
        <v>0</v>
      </c>
    </row>
    <row r="28" spans="1:8" ht="33" customHeight="1">
      <c r="A28" s="1316"/>
      <c r="B28" s="1319"/>
      <c r="C28" s="1322"/>
      <c r="D28" s="653">
        <v>3</v>
      </c>
      <c r="E28" s="2" t="s">
        <v>1997</v>
      </c>
      <c r="F28" s="278">
        <f>6/55</f>
        <v>0.10909090909090909</v>
      </c>
      <c r="G28" s="1"/>
      <c r="H28" s="279">
        <f>F28*G28</f>
        <v>0</v>
      </c>
    </row>
    <row r="29" spans="1:8" ht="47.25">
      <c r="A29" s="1316"/>
      <c r="B29" s="1319"/>
      <c r="C29" s="1322"/>
      <c r="D29" s="653">
        <v>4</v>
      </c>
      <c r="E29" s="2" t="s">
        <v>1998</v>
      </c>
      <c r="F29" s="278">
        <f>5/55</f>
        <v>9.0909090909090912E-2</v>
      </c>
      <c r="G29" s="1"/>
      <c r="H29" s="279">
        <f>F29*G29</f>
        <v>0</v>
      </c>
    </row>
    <row r="30" spans="1:8" ht="51.75" customHeight="1">
      <c r="A30" s="1316"/>
      <c r="B30" s="1319"/>
      <c r="C30" s="1322"/>
      <c r="D30" s="653">
        <v>5</v>
      </c>
      <c r="E30" s="282" t="s">
        <v>1999</v>
      </c>
      <c r="F30" s="278">
        <f>6/55</f>
        <v>0.10909090909090909</v>
      </c>
      <c r="G30" s="1"/>
      <c r="H30" s="279">
        <f t="shared" ref="H30:H35" si="0">F30*G30</f>
        <v>0</v>
      </c>
    </row>
    <row r="31" spans="1:8" ht="47.25">
      <c r="A31" s="1316"/>
      <c r="B31" s="1319"/>
      <c r="C31" s="1322"/>
      <c r="D31" s="653">
        <v>6</v>
      </c>
      <c r="E31" s="282" t="s">
        <v>2000</v>
      </c>
      <c r="F31" s="278">
        <f>5/55</f>
        <v>9.0909090909090912E-2</v>
      </c>
      <c r="G31" s="1"/>
      <c r="H31" s="279">
        <f t="shared" si="0"/>
        <v>0</v>
      </c>
    </row>
    <row r="32" spans="1:8" ht="47.25">
      <c r="A32" s="1316"/>
      <c r="B32" s="1319"/>
      <c r="C32" s="1322"/>
      <c r="D32" s="653">
        <v>7</v>
      </c>
      <c r="E32" s="282" t="s">
        <v>2001</v>
      </c>
      <c r="F32" s="278">
        <f>7/55</f>
        <v>0.12727272727272726</v>
      </c>
      <c r="G32" s="1"/>
      <c r="H32" s="279">
        <f t="shared" si="0"/>
        <v>0</v>
      </c>
    </row>
    <row r="33" spans="1:8" ht="47.25">
      <c r="A33" s="1316"/>
      <c r="B33" s="1319"/>
      <c r="C33" s="1322"/>
      <c r="D33" s="653">
        <v>8</v>
      </c>
      <c r="E33" s="2" t="s">
        <v>2002</v>
      </c>
      <c r="F33" s="278">
        <f>6/55</f>
        <v>0.10909090909090909</v>
      </c>
      <c r="G33" s="1"/>
      <c r="H33" s="279">
        <f t="shared" si="0"/>
        <v>0</v>
      </c>
    </row>
    <row r="34" spans="1:8" ht="31.5" customHeight="1">
      <c r="A34" s="1316"/>
      <c r="B34" s="1319"/>
      <c r="C34" s="1322"/>
      <c r="D34" s="653">
        <v>9</v>
      </c>
      <c r="E34" s="282" t="s">
        <v>2003</v>
      </c>
      <c r="F34" s="278">
        <f>4/55</f>
        <v>7.2727272727272724E-2</v>
      </c>
      <c r="G34" s="1"/>
      <c r="H34" s="279">
        <f t="shared" si="0"/>
        <v>0</v>
      </c>
    </row>
    <row r="35" spans="1:8" ht="63.75" customHeight="1">
      <c r="A35" s="1316"/>
      <c r="B35" s="1319"/>
      <c r="C35" s="1323"/>
      <c r="D35" s="653">
        <v>10</v>
      </c>
      <c r="E35" s="282" t="s">
        <v>2004</v>
      </c>
      <c r="F35" s="278">
        <f>3/55</f>
        <v>5.4545454545454543E-2</v>
      </c>
      <c r="G35" s="1"/>
      <c r="H35" s="279">
        <f t="shared" si="0"/>
        <v>0</v>
      </c>
    </row>
    <row r="36" spans="1:8">
      <c r="A36" s="87"/>
      <c r="B36" s="88" t="s">
        <v>1982</v>
      </c>
      <c r="C36" s="280"/>
      <c r="D36" s="89">
        <f>SUM(D26:D35)</f>
        <v>55</v>
      </c>
      <c r="E36" s="90"/>
      <c r="F36" s="280">
        <f>SUM(F26:F35)</f>
        <v>1</v>
      </c>
      <c r="G36" s="89"/>
      <c r="H36" s="280">
        <f>C26*SUM(H26:H35)</f>
        <v>0</v>
      </c>
    </row>
    <row r="37" spans="1:8" ht="63.75" customHeight="1">
      <c r="A37" s="1315">
        <v>7</v>
      </c>
      <c r="B37" s="1318" t="s">
        <v>2005</v>
      </c>
      <c r="C37" s="1321">
        <v>0.13</v>
      </c>
      <c r="D37" s="310">
        <v>1</v>
      </c>
      <c r="E37" s="2" t="s">
        <v>2006</v>
      </c>
      <c r="F37" s="278">
        <f>3/21</f>
        <v>0.14285714285714285</v>
      </c>
      <c r="G37" s="1"/>
      <c r="H37" s="279">
        <f t="shared" ref="H37:H42" si="1">F37*G37</f>
        <v>0</v>
      </c>
    </row>
    <row r="38" spans="1:8" ht="79.5" customHeight="1">
      <c r="A38" s="1316"/>
      <c r="B38" s="1319"/>
      <c r="C38" s="1322"/>
      <c r="D38" s="310">
        <v>2</v>
      </c>
      <c r="E38" s="86" t="s">
        <v>2007</v>
      </c>
      <c r="F38" s="278">
        <f>5/21</f>
        <v>0.23809523809523808</v>
      </c>
      <c r="G38" s="1"/>
      <c r="H38" s="279">
        <f t="shared" si="1"/>
        <v>0</v>
      </c>
    </row>
    <row r="39" spans="1:8" ht="51.75" customHeight="1">
      <c r="A39" s="1316"/>
      <c r="B39" s="1319"/>
      <c r="C39" s="1322"/>
      <c r="D39" s="310">
        <v>3</v>
      </c>
      <c r="E39" s="2" t="s">
        <v>2008</v>
      </c>
      <c r="F39" s="278">
        <f>5/21</f>
        <v>0.23809523809523808</v>
      </c>
      <c r="G39" s="1"/>
      <c r="H39" s="279">
        <f t="shared" si="1"/>
        <v>0</v>
      </c>
    </row>
    <row r="40" spans="1:8" ht="50.25" customHeight="1">
      <c r="A40" s="1316"/>
      <c r="B40" s="1319"/>
      <c r="C40" s="1322"/>
      <c r="D40" s="310">
        <v>4</v>
      </c>
      <c r="E40" s="86" t="s">
        <v>2009</v>
      </c>
      <c r="F40" s="278">
        <f>4/21</f>
        <v>0.19047619047619047</v>
      </c>
      <c r="G40" s="1"/>
      <c r="H40" s="279">
        <f t="shared" si="1"/>
        <v>0</v>
      </c>
    </row>
    <row r="41" spans="1:8" ht="35.25" customHeight="1">
      <c r="A41" s="1316"/>
      <c r="B41" s="1319"/>
      <c r="C41" s="1322"/>
      <c r="D41" s="310">
        <v>5</v>
      </c>
      <c r="E41" s="2" t="s">
        <v>2010</v>
      </c>
      <c r="F41" s="278">
        <f>2/21</f>
        <v>9.5238095238095233E-2</v>
      </c>
      <c r="G41" s="1"/>
      <c r="H41" s="279">
        <f t="shared" si="1"/>
        <v>0</v>
      </c>
    </row>
    <row r="42" spans="1:8" ht="31.5">
      <c r="A42" s="1317"/>
      <c r="B42" s="1320"/>
      <c r="C42" s="1323"/>
      <c r="D42" s="310">
        <v>6</v>
      </c>
      <c r="E42" s="2" t="s">
        <v>2011</v>
      </c>
      <c r="F42" s="278">
        <f>2/21</f>
        <v>9.5238095238095233E-2</v>
      </c>
      <c r="G42" s="1"/>
      <c r="H42" s="279">
        <f t="shared" si="1"/>
        <v>0</v>
      </c>
    </row>
    <row r="43" spans="1:8">
      <c r="A43" s="87"/>
      <c r="B43" s="88" t="s">
        <v>1982</v>
      </c>
      <c r="C43" s="280"/>
      <c r="D43" s="89">
        <f>SUM(D37:D42)</f>
        <v>21</v>
      </c>
      <c r="E43" s="90"/>
      <c r="F43" s="280">
        <f>SUM(F37:F42)</f>
        <v>1</v>
      </c>
      <c r="G43" s="89"/>
      <c r="H43" s="280">
        <f>C37*SUM(H37:H42)</f>
        <v>0</v>
      </c>
    </row>
    <row r="44" spans="1:8" ht="36" customHeight="1">
      <c r="A44" s="1315">
        <v>8</v>
      </c>
      <c r="B44" s="1318" t="s">
        <v>2012</v>
      </c>
      <c r="C44" s="1321">
        <v>7.0000000000000007E-2</v>
      </c>
      <c r="D44" s="310">
        <v>1</v>
      </c>
      <c r="E44" s="86" t="s">
        <v>2013</v>
      </c>
      <c r="F44" s="278">
        <f>5/21</f>
        <v>0.23809523809523808</v>
      </c>
      <c r="G44" s="1"/>
      <c r="H44" s="279">
        <f t="shared" ref="H44:H49" si="2">F44*G44</f>
        <v>0</v>
      </c>
    </row>
    <row r="45" spans="1:8" ht="32.25" customHeight="1">
      <c r="A45" s="1316"/>
      <c r="B45" s="1319"/>
      <c r="C45" s="1322"/>
      <c r="D45" s="310">
        <v>2</v>
      </c>
      <c r="E45" s="86" t="s">
        <v>2014</v>
      </c>
      <c r="F45" s="278">
        <f>5/21</f>
        <v>0.23809523809523808</v>
      </c>
      <c r="G45" s="1"/>
      <c r="H45" s="279">
        <f t="shared" si="2"/>
        <v>0</v>
      </c>
    </row>
    <row r="46" spans="1:8" ht="32.25" customHeight="1">
      <c r="A46" s="1316"/>
      <c r="B46" s="1319"/>
      <c r="C46" s="1322"/>
      <c r="D46" s="310">
        <v>3</v>
      </c>
      <c r="E46" s="86" t="s">
        <v>2015</v>
      </c>
      <c r="F46" s="278">
        <f>3/21</f>
        <v>0.14285714285714285</v>
      </c>
      <c r="G46" s="1"/>
      <c r="H46" s="279">
        <f t="shared" si="2"/>
        <v>0</v>
      </c>
    </row>
    <row r="47" spans="1:8" ht="32.25" customHeight="1">
      <c r="A47" s="1316"/>
      <c r="B47" s="1319"/>
      <c r="C47" s="1322"/>
      <c r="D47" s="310">
        <v>4</v>
      </c>
      <c r="E47" s="282" t="s">
        <v>2016</v>
      </c>
      <c r="F47" s="278">
        <f>4/21</f>
        <v>0.19047619047619047</v>
      </c>
      <c r="G47" s="1"/>
      <c r="H47" s="279">
        <f t="shared" si="2"/>
        <v>0</v>
      </c>
    </row>
    <row r="48" spans="1:8" ht="63" customHeight="1">
      <c r="A48" s="1316"/>
      <c r="B48" s="1319"/>
      <c r="C48" s="1322"/>
      <c r="D48" s="310">
        <v>5</v>
      </c>
      <c r="E48" s="2" t="s">
        <v>2017</v>
      </c>
      <c r="F48" s="278">
        <f>2/21</f>
        <v>9.5238095238095233E-2</v>
      </c>
      <c r="G48" s="1"/>
      <c r="H48" s="279">
        <f t="shared" si="2"/>
        <v>0</v>
      </c>
    </row>
    <row r="49" spans="1:8" ht="33.75" customHeight="1">
      <c r="A49" s="1316"/>
      <c r="B49" s="1319"/>
      <c r="C49" s="1323"/>
      <c r="D49" s="310">
        <v>6</v>
      </c>
      <c r="E49" s="2" t="s">
        <v>2018</v>
      </c>
      <c r="F49" s="278">
        <f>2/21</f>
        <v>9.5238095238095233E-2</v>
      </c>
      <c r="G49" s="1"/>
      <c r="H49" s="279">
        <f t="shared" si="2"/>
        <v>0</v>
      </c>
    </row>
    <row r="50" spans="1:8">
      <c r="A50" s="87"/>
      <c r="B50" s="88" t="s">
        <v>1982</v>
      </c>
      <c r="C50" s="280"/>
      <c r="D50" s="89">
        <f>SUM(D44:D49)</f>
        <v>21</v>
      </c>
      <c r="E50" s="90"/>
      <c r="F50" s="280">
        <f>SUM(F44:F49)</f>
        <v>1</v>
      </c>
      <c r="G50" s="89"/>
      <c r="H50" s="280">
        <f>C44*SUM(H44:H49)</f>
        <v>0</v>
      </c>
    </row>
    <row r="51" spans="1:8" ht="54" customHeight="1">
      <c r="A51" s="1315">
        <v>9</v>
      </c>
      <c r="B51" s="1318" t="s">
        <v>2019</v>
      </c>
      <c r="C51" s="1321">
        <v>0.05</v>
      </c>
      <c r="D51" s="310">
        <v>1</v>
      </c>
      <c r="E51" s="282" t="s">
        <v>2020</v>
      </c>
      <c r="F51" s="740">
        <f>4/10</f>
        <v>0.4</v>
      </c>
      <c r="G51" s="1"/>
      <c r="H51" s="279">
        <f>F51*G51</f>
        <v>0</v>
      </c>
    </row>
    <row r="52" spans="1:8" ht="47.25">
      <c r="A52" s="1316"/>
      <c r="B52" s="1319"/>
      <c r="C52" s="1322"/>
      <c r="D52" s="310">
        <v>2</v>
      </c>
      <c r="E52" s="282" t="s">
        <v>2021</v>
      </c>
      <c r="F52" s="740">
        <f>3/10</f>
        <v>0.3</v>
      </c>
      <c r="G52" s="1"/>
      <c r="H52" s="279">
        <f>F52*G52</f>
        <v>0</v>
      </c>
    </row>
    <row r="53" spans="1:8" ht="51.75" customHeight="1">
      <c r="A53" s="1316"/>
      <c r="B53" s="1319"/>
      <c r="C53" s="1322"/>
      <c r="D53" s="310">
        <v>3</v>
      </c>
      <c r="E53" s="282" t="s">
        <v>2022</v>
      </c>
      <c r="F53" s="740">
        <f>2/10</f>
        <v>0.2</v>
      </c>
      <c r="G53" s="1"/>
      <c r="H53" s="279">
        <f>F53*G53</f>
        <v>0</v>
      </c>
    </row>
    <row r="54" spans="1:8" ht="31.5">
      <c r="A54" s="1316"/>
      <c r="B54" s="1319"/>
      <c r="C54" s="1323"/>
      <c r="D54" s="310">
        <v>4</v>
      </c>
      <c r="E54" s="86" t="s">
        <v>2023</v>
      </c>
      <c r="F54" s="740">
        <f>1/10</f>
        <v>0.1</v>
      </c>
      <c r="G54" s="1"/>
      <c r="H54" s="279">
        <f>F54*G54</f>
        <v>0</v>
      </c>
    </row>
    <row r="55" spans="1:8">
      <c r="A55" s="87"/>
      <c r="B55" s="88" t="s">
        <v>1982</v>
      </c>
      <c r="C55" s="280"/>
      <c r="D55" s="89">
        <f>SUM(D51:D54)</f>
        <v>10</v>
      </c>
      <c r="E55" s="90"/>
      <c r="F55" s="280">
        <f>SUM(F51:F54)</f>
        <v>0.99999999999999989</v>
      </c>
      <c r="G55" s="89"/>
      <c r="H55" s="280">
        <f>C51*SUM(H51:H54)</f>
        <v>0</v>
      </c>
    </row>
    <row r="56" spans="1:8" ht="37.5" customHeight="1">
      <c r="A56" s="1315">
        <v>10</v>
      </c>
      <c r="B56" s="1318" t="s">
        <v>2024</v>
      </c>
      <c r="C56" s="1321">
        <v>0.04</v>
      </c>
      <c r="D56" s="310">
        <v>1</v>
      </c>
      <c r="E56" s="86" t="s">
        <v>2025</v>
      </c>
      <c r="F56" s="278">
        <f>5/45</f>
        <v>0.1111111111111111</v>
      </c>
      <c r="G56" s="1"/>
      <c r="H56" s="279">
        <f>F56*G56</f>
        <v>0</v>
      </c>
    </row>
    <row r="57" spans="1:8" ht="34.5" customHeight="1">
      <c r="A57" s="1316"/>
      <c r="B57" s="1319"/>
      <c r="C57" s="1322"/>
      <c r="D57" s="310">
        <v>2</v>
      </c>
      <c r="E57" s="86" t="s">
        <v>2026</v>
      </c>
      <c r="F57" s="278">
        <f>4/45</f>
        <v>8.8888888888888892E-2</v>
      </c>
      <c r="G57" s="1"/>
      <c r="H57" s="279">
        <f t="shared" ref="H57:H64" si="3">F57*G57</f>
        <v>0</v>
      </c>
    </row>
    <row r="58" spans="1:8" ht="30" customHeight="1">
      <c r="A58" s="1316"/>
      <c r="B58" s="1319"/>
      <c r="C58" s="1322"/>
      <c r="D58" s="310">
        <v>3</v>
      </c>
      <c r="E58" s="86" t="s">
        <v>2027</v>
      </c>
      <c r="F58" s="278">
        <f>5/45</f>
        <v>0.1111111111111111</v>
      </c>
      <c r="G58" s="1"/>
      <c r="H58" s="279">
        <f t="shared" si="3"/>
        <v>0</v>
      </c>
    </row>
    <row r="59" spans="1:8" ht="80.25" customHeight="1" thickBot="1">
      <c r="A59" s="1316"/>
      <c r="B59" s="1319"/>
      <c r="C59" s="1322"/>
      <c r="D59" s="310">
        <v>4</v>
      </c>
      <c r="E59" s="741" t="s">
        <v>2028</v>
      </c>
      <c r="F59" s="278">
        <f>5/45</f>
        <v>0.1111111111111111</v>
      </c>
      <c r="G59" s="1"/>
      <c r="H59" s="279">
        <f t="shared" si="3"/>
        <v>0</v>
      </c>
    </row>
    <row r="60" spans="1:8" ht="51" customHeight="1" thickBot="1">
      <c r="A60" s="1316"/>
      <c r="B60" s="1319"/>
      <c r="C60" s="1322"/>
      <c r="D60" s="310">
        <v>5</v>
      </c>
      <c r="E60" s="741" t="s">
        <v>2029</v>
      </c>
      <c r="F60" s="278">
        <f>5/45</f>
        <v>0.1111111111111111</v>
      </c>
      <c r="G60" s="1"/>
      <c r="H60" s="279">
        <f t="shared" si="3"/>
        <v>0</v>
      </c>
    </row>
    <row r="61" spans="1:8" ht="112.5" customHeight="1" thickBot="1">
      <c r="A61" s="1316"/>
      <c r="B61" s="1319"/>
      <c r="C61" s="1322"/>
      <c r="D61" s="310">
        <v>6</v>
      </c>
      <c r="E61" s="741" t="s">
        <v>887</v>
      </c>
      <c r="F61" s="278">
        <f>7/45</f>
        <v>0.15555555555555556</v>
      </c>
      <c r="G61" s="1"/>
      <c r="H61" s="279">
        <f t="shared" si="3"/>
        <v>0</v>
      </c>
    </row>
    <row r="62" spans="1:8" ht="35.25" customHeight="1">
      <c r="A62" s="1316"/>
      <c r="B62" s="1319"/>
      <c r="C62" s="1322"/>
      <c r="D62" s="310">
        <v>7</v>
      </c>
      <c r="E62" s="86" t="s">
        <v>2030</v>
      </c>
      <c r="F62" s="278">
        <f>7/45</f>
        <v>0.15555555555555556</v>
      </c>
      <c r="G62" s="1"/>
      <c r="H62" s="279">
        <f t="shared" si="3"/>
        <v>0</v>
      </c>
    </row>
    <row r="63" spans="1:8" ht="45.75" customHeight="1">
      <c r="A63" s="1316"/>
      <c r="B63" s="1319"/>
      <c r="C63" s="1322"/>
      <c r="D63" s="310">
        <v>8</v>
      </c>
      <c r="E63" s="86" t="s">
        <v>2031</v>
      </c>
      <c r="F63" s="278">
        <f>4/45</f>
        <v>8.8888888888888892E-2</v>
      </c>
      <c r="G63" s="1"/>
      <c r="H63" s="279">
        <f t="shared" si="3"/>
        <v>0</v>
      </c>
    </row>
    <row r="64" spans="1:8" ht="49.5" customHeight="1">
      <c r="A64" s="1317"/>
      <c r="B64" s="1320"/>
      <c r="C64" s="1323"/>
      <c r="D64" s="310">
        <v>9</v>
      </c>
      <c r="E64" s="86" t="s">
        <v>2032</v>
      </c>
      <c r="F64" s="278">
        <f>3/45</f>
        <v>6.6666666666666666E-2</v>
      </c>
      <c r="G64" s="1"/>
      <c r="H64" s="279">
        <f t="shared" si="3"/>
        <v>0</v>
      </c>
    </row>
    <row r="65" spans="1:8">
      <c r="A65" s="87"/>
      <c r="B65" s="88" t="s">
        <v>1982</v>
      </c>
      <c r="C65" s="280">
        <f>SUM(C5:C64)</f>
        <v>1</v>
      </c>
      <c r="D65" s="89">
        <f>SUM(D56:D64)</f>
        <v>45</v>
      </c>
      <c r="E65" s="90"/>
      <c r="F65" s="280">
        <f>SUM(F56:F64)</f>
        <v>1</v>
      </c>
      <c r="G65" s="89"/>
      <c r="H65" s="280">
        <f>C56*SUM(H56:H64)</f>
        <v>0</v>
      </c>
    </row>
    <row r="66" spans="1:8" ht="15.75" customHeight="1">
      <c r="A66" s="1277" t="s">
        <v>443</v>
      </c>
      <c r="B66" s="1278"/>
      <c r="C66" s="1279"/>
      <c r="D66" s="93"/>
      <c r="E66" s="90"/>
      <c r="F66" s="280"/>
      <c r="G66" s="89"/>
      <c r="H66" s="280">
        <f>H10+H14+H18+H21+H25+H36+H43+H50+H55+H65</f>
        <v>0</v>
      </c>
    </row>
    <row r="67" spans="1:8" ht="16.5" customHeight="1">
      <c r="A67" s="1277" t="s">
        <v>444</v>
      </c>
      <c r="B67" s="1278"/>
      <c r="C67" s="1279"/>
      <c r="D67" s="634"/>
      <c r="E67" s="94"/>
      <c r="F67" s="284"/>
      <c r="G67" s="954"/>
      <c r="H67" s="285" t="str">
        <f>IF(H66&lt;=0.65,"низький",IF(H66&lt;=0.75,"середній",IF(H66&lt;=0.95,"достатній","високий")))</f>
        <v>низький</v>
      </c>
    </row>
    <row r="68" spans="1:8" s="302" customFormat="1">
      <c r="A68" s="288" t="s">
        <v>182</v>
      </c>
      <c r="B68" s="289"/>
      <c r="C68" s="342"/>
      <c r="E68" s="343"/>
      <c r="F68" s="344"/>
      <c r="G68" s="112"/>
    </row>
    <row r="69" spans="1:8" s="302" customFormat="1" ht="17.25">
      <c r="A69" s="345" t="s">
        <v>589</v>
      </c>
      <c r="B69" s="346"/>
      <c r="C69" s="347"/>
      <c r="D69" s="303"/>
      <c r="E69" s="348"/>
      <c r="F69" s="349"/>
      <c r="G69" s="112"/>
    </row>
    <row r="70" spans="1:8" s="302" customFormat="1" ht="17.25">
      <c r="A70" s="345" t="s">
        <v>590</v>
      </c>
      <c r="B70" s="346"/>
      <c r="C70" s="347"/>
      <c r="D70" s="303"/>
      <c r="E70" s="348"/>
      <c r="F70" s="349"/>
      <c r="G70" s="112"/>
    </row>
    <row r="71" spans="1:8" s="302" customFormat="1" ht="17.25">
      <c r="A71" s="345" t="s">
        <v>591</v>
      </c>
      <c r="B71" s="346"/>
      <c r="C71" s="347"/>
      <c r="D71" s="303"/>
      <c r="E71" s="348"/>
      <c r="F71" s="349"/>
      <c r="G71" s="112"/>
    </row>
    <row r="72" spans="1:8" s="302" customFormat="1" ht="17.25">
      <c r="A72" s="345" t="s">
        <v>592</v>
      </c>
      <c r="B72" s="346"/>
      <c r="C72" s="347"/>
      <c r="D72" s="303"/>
      <c r="E72" s="348"/>
      <c r="F72" s="349"/>
      <c r="G72" s="112"/>
    </row>
    <row r="73" spans="1:8" s="302" customFormat="1" ht="17.25">
      <c r="A73" s="345" t="s">
        <v>593</v>
      </c>
      <c r="B73" s="346"/>
      <c r="C73" s="347"/>
      <c r="D73" s="303"/>
      <c r="E73" s="348"/>
      <c r="F73" s="349"/>
      <c r="G73" s="112"/>
    </row>
    <row r="74" spans="1:8" s="302" customFormat="1" ht="17.25">
      <c r="A74" s="345" t="s">
        <v>594</v>
      </c>
      <c r="B74" s="346"/>
      <c r="C74" s="347"/>
      <c r="D74" s="303"/>
      <c r="E74" s="348"/>
      <c r="F74" s="349"/>
      <c r="G74" s="112"/>
    </row>
    <row r="75" spans="1:8" s="302" customFormat="1" ht="17.25">
      <c r="A75" s="345" t="s">
        <v>595</v>
      </c>
      <c r="B75" s="346"/>
      <c r="C75" s="347"/>
      <c r="D75" s="303"/>
      <c r="E75" s="348"/>
      <c r="F75" s="349"/>
      <c r="G75" s="112"/>
    </row>
    <row r="76" spans="1:8" s="302" customFormat="1">
      <c r="A76" s="350" t="s">
        <v>596</v>
      </c>
      <c r="B76" s="346"/>
      <c r="C76" s="347"/>
      <c r="D76" s="303"/>
      <c r="E76" s="348"/>
      <c r="F76" s="349"/>
      <c r="G76" s="112"/>
    </row>
    <row r="77" spans="1:8" s="302" customFormat="1">
      <c r="A77" s="345" t="s">
        <v>597</v>
      </c>
      <c r="B77" s="346"/>
      <c r="C77" s="347"/>
      <c r="D77" s="303"/>
      <c r="E77" s="348"/>
      <c r="F77" s="349"/>
      <c r="G77" s="112"/>
    </row>
    <row r="78" spans="1:8" s="302" customFormat="1">
      <c r="A78" s="288" t="s">
        <v>792</v>
      </c>
      <c r="B78" s="346"/>
      <c r="C78" s="347"/>
      <c r="D78" s="303"/>
      <c r="E78" s="348"/>
      <c r="F78" s="349"/>
      <c r="G78" s="112"/>
    </row>
    <row r="79" spans="1:8" s="302" customFormat="1">
      <c r="A79" s="288" t="s">
        <v>793</v>
      </c>
      <c r="B79" s="346"/>
      <c r="C79" s="347"/>
      <c r="D79" s="303"/>
      <c r="E79" s="348"/>
      <c r="F79" s="349"/>
      <c r="G79" s="112"/>
    </row>
    <row r="80" spans="1:8" s="302" customFormat="1">
      <c r="A80" s="288" t="s">
        <v>794</v>
      </c>
      <c r="B80" s="346"/>
      <c r="C80" s="347"/>
      <c r="D80" s="303"/>
      <c r="E80" s="348"/>
      <c r="F80" s="349"/>
      <c r="G80" s="112"/>
    </row>
    <row r="81" spans="1:7" s="302" customFormat="1">
      <c r="A81" s="342"/>
      <c r="B81" s="342" t="s">
        <v>20</v>
      </c>
      <c r="C81" s="342"/>
      <c r="D81" s="342"/>
      <c r="E81" s="342"/>
      <c r="F81" s="342"/>
      <c r="G81" s="342"/>
    </row>
    <row r="82" spans="1:7" s="302" customFormat="1">
      <c r="A82" s="351"/>
      <c r="B82" s="351"/>
      <c r="C82" s="351"/>
      <c r="D82" s="351"/>
      <c r="E82" s="351"/>
      <c r="F82" s="351"/>
      <c r="G82" s="351"/>
    </row>
    <row r="83" spans="1:7" s="302" customFormat="1">
      <c r="A83" s="351"/>
      <c r="B83" s="351"/>
      <c r="C83" s="351"/>
      <c r="D83" s="351"/>
      <c r="E83" s="351"/>
      <c r="F83" s="351"/>
      <c r="G83" s="351"/>
    </row>
    <row r="84" spans="1:7" s="302" customFormat="1">
      <c r="A84" s="351"/>
      <c r="B84" s="351"/>
      <c r="C84" s="351"/>
      <c r="D84" s="351"/>
      <c r="E84" s="351"/>
      <c r="F84" s="351"/>
      <c r="G84" s="351"/>
    </row>
    <row r="85" spans="1:7" s="302" customFormat="1">
      <c r="A85" s="351"/>
      <c r="B85" s="351"/>
      <c r="C85" s="351"/>
      <c r="D85" s="351"/>
      <c r="E85" s="351"/>
      <c r="F85" s="351"/>
      <c r="G85" s="351"/>
    </row>
    <row r="86" spans="1:7" s="302" customFormat="1">
      <c r="A86" s="351"/>
      <c r="B86" s="351"/>
      <c r="C86" s="351"/>
      <c r="D86" s="351"/>
      <c r="E86" s="351"/>
      <c r="F86" s="351"/>
      <c r="G86" s="351"/>
    </row>
    <row r="87" spans="1:7" s="302" customFormat="1">
      <c r="A87" s="351"/>
      <c r="B87" s="351"/>
      <c r="C87" s="351"/>
      <c r="D87" s="351"/>
      <c r="E87" s="351"/>
      <c r="F87" s="351"/>
      <c r="G87" s="351"/>
    </row>
    <row r="88" spans="1:7" s="302" customFormat="1">
      <c r="A88" s="351"/>
      <c r="B88" s="351"/>
      <c r="C88" s="351"/>
      <c r="D88" s="351"/>
      <c r="E88" s="351"/>
      <c r="F88" s="351"/>
      <c r="G88" s="351"/>
    </row>
    <row r="89" spans="1:7" s="302" customFormat="1">
      <c r="A89" s="351"/>
      <c r="B89" s="351"/>
      <c r="C89" s="351"/>
      <c r="D89" s="351"/>
      <c r="E89" s="351"/>
      <c r="F89" s="351"/>
      <c r="G89" s="351"/>
    </row>
    <row r="90" spans="1:7" s="302" customFormat="1">
      <c r="A90" s="351"/>
      <c r="B90" s="351"/>
      <c r="C90" s="351"/>
      <c r="D90" s="351"/>
      <c r="E90" s="351"/>
      <c r="F90" s="351"/>
      <c r="G90" s="351"/>
    </row>
    <row r="91" spans="1:7" s="302" customFormat="1">
      <c r="A91" s="351"/>
      <c r="B91" s="351"/>
      <c r="C91" s="351"/>
      <c r="D91" s="351"/>
      <c r="E91" s="351"/>
      <c r="F91" s="351"/>
      <c r="G91" s="351"/>
    </row>
    <row r="92" spans="1:7" s="302" customFormat="1">
      <c r="A92" s="351"/>
      <c r="B92" s="351"/>
      <c r="C92" s="351"/>
      <c r="D92" s="351"/>
      <c r="E92" s="351"/>
      <c r="F92" s="351"/>
      <c r="G92" s="351"/>
    </row>
    <row r="93" spans="1:7" s="302" customFormat="1">
      <c r="A93" s="351"/>
      <c r="B93" s="351"/>
      <c r="C93" s="351"/>
      <c r="D93" s="351"/>
      <c r="E93" s="351"/>
      <c r="F93" s="351"/>
      <c r="G93" s="351"/>
    </row>
    <row r="94" spans="1:7" s="302" customFormat="1">
      <c r="A94" s="351"/>
      <c r="B94" s="351"/>
      <c r="C94" s="351"/>
      <c r="D94" s="351"/>
      <c r="E94" s="351"/>
      <c r="F94" s="351"/>
      <c r="G94" s="351"/>
    </row>
    <row r="95" spans="1:7" s="302" customFormat="1">
      <c r="A95" s="351"/>
      <c r="B95" s="351"/>
      <c r="C95" s="351"/>
      <c r="D95" s="351"/>
      <c r="E95" s="351"/>
      <c r="F95" s="351"/>
      <c r="G95" s="351"/>
    </row>
    <row r="96" spans="1:7" s="302" customFormat="1">
      <c r="A96" s="342"/>
      <c r="B96" s="352" t="s">
        <v>2418</v>
      </c>
      <c r="C96" s="352"/>
      <c r="D96" s="352"/>
      <c r="E96" s="352"/>
      <c r="F96" s="352"/>
      <c r="G96" s="352"/>
    </row>
    <row r="97" spans="1:7" s="302" customFormat="1">
      <c r="A97" s="342"/>
      <c r="B97" s="353"/>
      <c r="C97" s="353"/>
      <c r="D97" s="353"/>
      <c r="E97" s="353"/>
      <c r="F97" s="353"/>
      <c r="G97" s="353"/>
    </row>
    <row r="98" spans="1:7" s="302" customFormat="1">
      <c r="A98" s="342"/>
      <c r="B98" s="352" t="s">
        <v>22</v>
      </c>
      <c r="C98" s="352"/>
      <c r="D98" s="352"/>
      <c r="E98" s="352"/>
      <c r="F98" s="352"/>
      <c r="G98" s="352"/>
    </row>
    <row r="99" spans="1:7" s="302" customFormat="1">
      <c r="A99" s="342"/>
      <c r="B99" s="353"/>
      <c r="C99" s="353"/>
      <c r="D99" s="353"/>
      <c r="E99" s="353"/>
      <c r="F99" s="353"/>
      <c r="G99" s="353"/>
    </row>
    <row r="100" spans="1:7" s="302" customFormat="1">
      <c r="A100" s="342"/>
      <c r="B100" s="352" t="s">
        <v>23</v>
      </c>
      <c r="C100" s="352"/>
      <c r="D100" s="352"/>
      <c r="E100" s="352"/>
      <c r="F100" s="352"/>
      <c r="G100" s="352"/>
    </row>
    <row r="101" spans="1:7" s="302" customFormat="1">
      <c r="A101" s="342"/>
      <c r="B101" s="352" t="s">
        <v>24</v>
      </c>
      <c r="C101" s="352"/>
      <c r="D101" s="352"/>
      <c r="E101" s="352"/>
      <c r="F101" s="352"/>
      <c r="G101" s="352"/>
    </row>
    <row r="102" spans="1:7" s="303" customFormat="1">
      <c r="A102" s="346"/>
      <c r="B102" s="346"/>
      <c r="E102" s="333"/>
    </row>
  </sheetData>
  <autoFilter ref="A4:H81"/>
  <mergeCells count="34">
    <mergeCell ref="A44:A49"/>
    <mergeCell ref="B44:B49"/>
    <mergeCell ref="B19:B20"/>
    <mergeCell ref="C19:C20"/>
    <mergeCell ref="B22:B24"/>
    <mergeCell ref="C22:C24"/>
    <mergeCell ref="A26:A35"/>
    <mergeCell ref="B26:B35"/>
    <mergeCell ref="C26:C35"/>
    <mergeCell ref="A22:A24"/>
    <mergeCell ref="C44:C49"/>
    <mergeCell ref="A37:A42"/>
    <mergeCell ref="B37:B42"/>
    <mergeCell ref="C37:C42"/>
    <mergeCell ref="A19:A20"/>
    <mergeCell ref="A67:C67"/>
    <mergeCell ref="A51:A54"/>
    <mergeCell ref="B51:B54"/>
    <mergeCell ref="C51:C54"/>
    <mergeCell ref="A56:A64"/>
    <mergeCell ref="B56:B64"/>
    <mergeCell ref="C56:C64"/>
    <mergeCell ref="A66:C66"/>
    <mergeCell ref="A1:H1"/>
    <mergeCell ref="A2:H2"/>
    <mergeCell ref="A5:A9"/>
    <mergeCell ref="B5:B9"/>
    <mergeCell ref="C5:C9"/>
    <mergeCell ref="A11:A13"/>
    <mergeCell ref="B11:B13"/>
    <mergeCell ref="C11:C13"/>
    <mergeCell ref="A15:A17"/>
    <mergeCell ref="B15:B17"/>
    <mergeCell ref="C15:C17"/>
  </mergeCells>
  <phoneticPr fontId="4" type="noConversion"/>
  <pageMargins left="0.7" right="0.7" top="0.75" bottom="0.75" header="0.3" footer="0.3"/>
  <pageSetup paperSize="9" scale="60"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1"/>
  <sheetViews>
    <sheetView workbookViewId="0"/>
  </sheetViews>
  <sheetFormatPr defaultRowHeight="15"/>
  <sheetData/>
  <phoneticPr fontId="4"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IV63"/>
  <sheetViews>
    <sheetView workbookViewId="0">
      <selection sqref="A1:G1"/>
    </sheetView>
  </sheetViews>
  <sheetFormatPr defaultColWidth="4.140625" defaultRowHeight="18.75"/>
  <cols>
    <col min="1" max="1" width="4.140625" style="1047" customWidth="1"/>
    <col min="2" max="2" width="19.28515625" style="1048" customWidth="1"/>
    <col min="3" max="3" width="11.140625" style="1049" customWidth="1"/>
    <col min="4" max="4" width="72.42578125" style="1049" customWidth="1"/>
    <col min="5" max="5" width="14.42578125" style="1049" customWidth="1"/>
    <col min="6" max="6" width="17.28515625" style="1047" customWidth="1"/>
    <col min="7" max="7" width="15.28515625" style="1050" customWidth="1"/>
    <col min="8" max="255" width="9.140625" style="1049" customWidth="1"/>
    <col min="256" max="16384" width="4.140625" style="1049"/>
  </cols>
  <sheetData>
    <row r="1" spans="1:256">
      <c r="A1" s="1332" t="s">
        <v>2075</v>
      </c>
      <c r="B1" s="1333"/>
      <c r="C1" s="1333"/>
      <c r="D1" s="1333"/>
      <c r="E1" s="1333"/>
      <c r="F1" s="1333"/>
      <c r="G1" s="1333"/>
    </row>
    <row r="2" spans="1:256" ht="63">
      <c r="A2" s="1011"/>
      <c r="B2" s="702" t="s">
        <v>1652</v>
      </c>
      <c r="C2" s="702" t="s">
        <v>1696</v>
      </c>
      <c r="D2" s="1051" t="s">
        <v>1613</v>
      </c>
      <c r="E2" s="1051" t="s">
        <v>1697</v>
      </c>
      <c r="F2" s="1052" t="s">
        <v>399</v>
      </c>
      <c r="G2" s="186" t="s">
        <v>1473</v>
      </c>
      <c r="H2" s="1053"/>
      <c r="I2" s="1053"/>
      <c r="J2" s="1053"/>
      <c r="K2" s="1053"/>
      <c r="L2" s="1053"/>
      <c r="M2" s="1053"/>
      <c r="N2" s="1053"/>
      <c r="O2" s="1053"/>
      <c r="P2" s="1053"/>
      <c r="Q2" s="1053"/>
      <c r="R2" s="1053"/>
      <c r="S2" s="1053"/>
      <c r="T2" s="1053"/>
      <c r="U2" s="1053"/>
      <c r="V2" s="1053"/>
      <c r="W2" s="1053"/>
      <c r="X2" s="1053"/>
      <c r="Y2" s="1053"/>
      <c r="Z2" s="1053"/>
      <c r="AA2" s="1053"/>
      <c r="AB2" s="1053"/>
      <c r="AC2" s="1053"/>
      <c r="AD2" s="1053"/>
      <c r="AE2" s="1053"/>
      <c r="AF2" s="1053"/>
      <c r="AG2" s="1053"/>
      <c r="AH2" s="1053"/>
      <c r="AI2" s="1053"/>
      <c r="AJ2" s="1053"/>
      <c r="AK2" s="1053"/>
      <c r="AL2" s="1053"/>
      <c r="AM2" s="1053"/>
      <c r="AN2" s="1053"/>
      <c r="AO2" s="1053"/>
      <c r="AP2" s="1053"/>
      <c r="AQ2" s="1053"/>
      <c r="AR2" s="1053"/>
      <c r="AS2" s="1053"/>
      <c r="AT2" s="1053"/>
      <c r="AU2" s="1053"/>
      <c r="AV2" s="1053"/>
      <c r="AW2" s="1053"/>
      <c r="AX2" s="1053"/>
      <c r="AY2" s="1053"/>
      <c r="AZ2" s="1053"/>
      <c r="BA2" s="1053"/>
      <c r="BB2" s="1053"/>
      <c r="BC2" s="1053"/>
      <c r="BD2" s="1053"/>
      <c r="BE2" s="1053"/>
      <c r="BF2" s="1053"/>
      <c r="BG2" s="1053"/>
      <c r="BH2" s="1053"/>
      <c r="BI2" s="1053"/>
      <c r="BJ2" s="1053"/>
      <c r="BK2" s="1053"/>
      <c r="BL2" s="1053"/>
      <c r="BM2" s="1053"/>
      <c r="BN2" s="1053"/>
      <c r="BO2" s="1053"/>
      <c r="BP2" s="1053"/>
      <c r="BQ2" s="1053"/>
      <c r="BR2" s="1053"/>
      <c r="BS2" s="1053"/>
      <c r="BT2" s="1053"/>
      <c r="BU2" s="1053"/>
      <c r="BV2" s="1053"/>
      <c r="BW2" s="1053"/>
      <c r="BX2" s="1053"/>
      <c r="BY2" s="1053"/>
      <c r="BZ2" s="1053"/>
      <c r="CA2" s="1053"/>
      <c r="CB2" s="1053"/>
      <c r="CC2" s="1053"/>
      <c r="CD2" s="1053"/>
      <c r="CE2" s="1053"/>
      <c r="CF2" s="1053"/>
      <c r="CG2" s="1053"/>
      <c r="CH2" s="1053"/>
      <c r="CI2" s="1053"/>
      <c r="CJ2" s="1053"/>
      <c r="CK2" s="1053"/>
      <c r="CL2" s="1053"/>
      <c r="CM2" s="1053"/>
      <c r="CN2" s="1053"/>
      <c r="CO2" s="1053"/>
      <c r="CP2" s="1053"/>
      <c r="CQ2" s="1053"/>
      <c r="CR2" s="1053"/>
      <c r="CS2" s="1053"/>
      <c r="CT2" s="1053"/>
      <c r="CU2" s="1053"/>
      <c r="CV2" s="1053"/>
      <c r="CW2" s="1053"/>
      <c r="CX2" s="1053"/>
      <c r="CY2" s="1053"/>
      <c r="CZ2" s="1053"/>
      <c r="DA2" s="1053"/>
      <c r="DB2" s="1053"/>
      <c r="DC2" s="1053"/>
      <c r="DD2" s="1053"/>
      <c r="DE2" s="1053"/>
      <c r="DF2" s="1053"/>
      <c r="DG2" s="1053"/>
      <c r="DH2" s="1053"/>
      <c r="DI2" s="1053"/>
      <c r="DJ2" s="1053"/>
      <c r="DK2" s="1053"/>
      <c r="DL2" s="1053"/>
      <c r="DM2" s="1053"/>
      <c r="DN2" s="1053"/>
      <c r="DO2" s="1053"/>
      <c r="DP2" s="1053"/>
      <c r="DQ2" s="1053"/>
      <c r="DR2" s="1053"/>
      <c r="DS2" s="1053"/>
      <c r="DT2" s="1053"/>
      <c r="DU2" s="1053"/>
      <c r="DV2" s="1053"/>
      <c r="DW2" s="1053"/>
      <c r="DX2" s="1053"/>
      <c r="DY2" s="1053"/>
      <c r="DZ2" s="1053"/>
      <c r="EA2" s="1053"/>
      <c r="EB2" s="1053"/>
      <c r="EC2" s="1053"/>
      <c r="ED2" s="1053"/>
      <c r="EE2" s="1053"/>
      <c r="EF2" s="1053"/>
      <c r="EG2" s="1053"/>
      <c r="EH2" s="1053"/>
      <c r="EI2" s="1053"/>
      <c r="EJ2" s="1053"/>
      <c r="EK2" s="1053"/>
      <c r="EL2" s="1053"/>
      <c r="EM2" s="1053"/>
      <c r="EN2" s="1053"/>
      <c r="EO2" s="1053"/>
      <c r="EP2" s="1053"/>
      <c r="EQ2" s="1053"/>
      <c r="ER2" s="1053"/>
      <c r="ES2" s="1053"/>
      <c r="ET2" s="1053"/>
      <c r="EU2" s="1053"/>
      <c r="EV2" s="1053"/>
      <c r="EW2" s="1053"/>
      <c r="EX2" s="1053"/>
      <c r="EY2" s="1053"/>
      <c r="EZ2" s="1053"/>
      <c r="FA2" s="1053"/>
      <c r="FB2" s="1053"/>
      <c r="FC2" s="1053"/>
      <c r="FD2" s="1053"/>
      <c r="FE2" s="1053"/>
      <c r="FF2" s="1053"/>
      <c r="FG2" s="1053"/>
      <c r="FH2" s="1053"/>
      <c r="FI2" s="1053"/>
      <c r="FJ2" s="1053"/>
      <c r="FK2" s="1053"/>
      <c r="FL2" s="1053"/>
      <c r="FM2" s="1053"/>
      <c r="FN2" s="1053"/>
      <c r="FO2" s="1053"/>
      <c r="FP2" s="1053"/>
      <c r="FQ2" s="1053"/>
      <c r="FR2" s="1053"/>
      <c r="FS2" s="1053"/>
      <c r="FT2" s="1053"/>
      <c r="FU2" s="1053"/>
      <c r="FV2" s="1053"/>
      <c r="FW2" s="1053"/>
      <c r="FX2" s="1053"/>
      <c r="FY2" s="1053"/>
      <c r="FZ2" s="1053"/>
      <c r="GA2" s="1053"/>
      <c r="GB2" s="1053"/>
      <c r="GC2" s="1053"/>
      <c r="GD2" s="1053"/>
      <c r="GE2" s="1053"/>
      <c r="GF2" s="1053"/>
      <c r="GG2" s="1053"/>
      <c r="GH2" s="1053"/>
      <c r="GI2" s="1053"/>
      <c r="GJ2" s="1053"/>
      <c r="GK2" s="1053"/>
      <c r="GL2" s="1053"/>
      <c r="GM2" s="1053"/>
      <c r="GN2" s="1053"/>
      <c r="GO2" s="1053"/>
      <c r="GP2" s="1053"/>
      <c r="GQ2" s="1053"/>
      <c r="GR2" s="1053"/>
      <c r="GS2" s="1053"/>
      <c r="GT2" s="1053"/>
      <c r="GU2" s="1053"/>
      <c r="GV2" s="1053"/>
      <c r="GW2" s="1053"/>
      <c r="GX2" s="1053"/>
      <c r="GY2" s="1053"/>
      <c r="GZ2" s="1053"/>
      <c r="HA2" s="1053"/>
      <c r="HB2" s="1053"/>
      <c r="HC2" s="1053"/>
      <c r="HD2" s="1053"/>
      <c r="HE2" s="1053"/>
      <c r="HF2" s="1053"/>
      <c r="HG2" s="1053"/>
      <c r="HH2" s="1053"/>
      <c r="HI2" s="1053"/>
      <c r="HJ2" s="1053"/>
      <c r="HK2" s="1053"/>
      <c r="HL2" s="1053"/>
      <c r="HM2" s="1053"/>
      <c r="HN2" s="1053"/>
      <c r="HO2" s="1053"/>
      <c r="HP2" s="1053"/>
      <c r="HQ2" s="1053"/>
      <c r="HR2" s="1053"/>
      <c r="HS2" s="1053"/>
      <c r="HT2" s="1053"/>
      <c r="HU2" s="1053"/>
      <c r="HV2" s="1053"/>
      <c r="HW2" s="1053"/>
      <c r="HX2" s="1053"/>
      <c r="HY2" s="1053"/>
      <c r="HZ2" s="1053"/>
      <c r="IA2" s="1053"/>
      <c r="IB2" s="1053"/>
      <c r="IC2" s="1053"/>
      <c r="ID2" s="1053"/>
      <c r="IE2" s="1053"/>
      <c r="IF2" s="1053"/>
      <c r="IG2" s="1053"/>
      <c r="IH2" s="1053"/>
      <c r="II2" s="1053"/>
      <c r="IJ2" s="1053"/>
      <c r="IK2" s="1053"/>
      <c r="IL2" s="1053"/>
      <c r="IM2" s="1053"/>
      <c r="IN2" s="1053"/>
      <c r="IO2" s="1053"/>
      <c r="IP2" s="1053"/>
      <c r="IQ2" s="1053"/>
      <c r="IR2" s="1053"/>
      <c r="IS2" s="1053"/>
      <c r="IT2" s="1053"/>
      <c r="IU2" s="1053"/>
      <c r="IV2" s="1053"/>
    </row>
    <row r="3" spans="1:256" ht="93.75">
      <c r="A3" s="1334" t="s">
        <v>634</v>
      </c>
      <c r="B3" s="1335" t="s">
        <v>2076</v>
      </c>
      <c r="C3" s="1336">
        <v>0.2</v>
      </c>
      <c r="D3" s="623" t="s">
        <v>2077</v>
      </c>
      <c r="E3" s="1055">
        <v>0.75</v>
      </c>
      <c r="F3" s="1056"/>
      <c r="G3" s="1057">
        <f>E3*F3</f>
        <v>0</v>
      </c>
    </row>
    <row r="4" spans="1:256" ht="75">
      <c r="A4" s="1334"/>
      <c r="B4" s="1335"/>
      <c r="C4" s="1336"/>
      <c r="D4" s="804" t="s">
        <v>2078</v>
      </c>
      <c r="E4" s="1055">
        <v>0.25</v>
      </c>
      <c r="F4" s="1056"/>
      <c r="G4" s="1057">
        <f t="shared" ref="G4:G26" si="0">E4*F4</f>
        <v>0</v>
      </c>
    </row>
    <row r="5" spans="1:256" ht="37.5">
      <c r="A5" s="1334" t="s">
        <v>637</v>
      </c>
      <c r="B5" s="1335" t="s">
        <v>2079</v>
      </c>
      <c r="C5" s="1336">
        <v>0.18</v>
      </c>
      <c r="D5" s="1058" t="s">
        <v>2080</v>
      </c>
      <c r="E5" s="1055">
        <v>0.1</v>
      </c>
      <c r="F5" s="1056"/>
      <c r="G5" s="1057">
        <f t="shared" si="0"/>
        <v>0</v>
      </c>
    </row>
    <row r="6" spans="1:256" ht="93.75">
      <c r="A6" s="1334"/>
      <c r="B6" s="1335"/>
      <c r="C6" s="1336"/>
      <c r="D6" s="1059" t="s">
        <v>2081</v>
      </c>
      <c r="E6" s="1055">
        <v>0.15</v>
      </c>
      <c r="F6" s="1056"/>
      <c r="G6" s="1057">
        <f t="shared" si="0"/>
        <v>0</v>
      </c>
    </row>
    <row r="7" spans="1:256" ht="56.25">
      <c r="A7" s="1334"/>
      <c r="B7" s="1335"/>
      <c r="C7" s="1336"/>
      <c r="D7" s="1059" t="s">
        <v>2082</v>
      </c>
      <c r="E7" s="1055">
        <v>0.08</v>
      </c>
      <c r="F7" s="1056"/>
      <c r="G7" s="1057">
        <f t="shared" si="0"/>
        <v>0</v>
      </c>
    </row>
    <row r="8" spans="1:256" ht="93.75">
      <c r="A8" s="1334"/>
      <c r="B8" s="1335"/>
      <c r="C8" s="1336"/>
      <c r="D8" s="189" t="s">
        <v>2083</v>
      </c>
      <c r="E8" s="1055">
        <v>0.22</v>
      </c>
      <c r="F8" s="1056"/>
      <c r="G8" s="1057">
        <f t="shared" si="0"/>
        <v>0</v>
      </c>
    </row>
    <row r="9" spans="1:256" ht="75">
      <c r="A9" s="1334"/>
      <c r="B9" s="1335"/>
      <c r="C9" s="1336"/>
      <c r="D9" s="189" t="s">
        <v>2084</v>
      </c>
      <c r="E9" s="1055">
        <v>0.08</v>
      </c>
      <c r="F9" s="1056"/>
      <c r="G9" s="1057">
        <f t="shared" si="0"/>
        <v>0</v>
      </c>
    </row>
    <row r="10" spans="1:256" ht="131.25">
      <c r="A10" s="1334"/>
      <c r="B10" s="1335"/>
      <c r="C10" s="1336"/>
      <c r="D10" s="189" t="s">
        <v>2085</v>
      </c>
      <c r="E10" s="1055">
        <v>7.0000000000000007E-2</v>
      </c>
      <c r="F10" s="1056"/>
      <c r="G10" s="1057">
        <f t="shared" si="0"/>
        <v>0</v>
      </c>
    </row>
    <row r="11" spans="1:256" ht="75">
      <c r="A11" s="1334"/>
      <c r="B11" s="1335"/>
      <c r="C11" s="1336"/>
      <c r="D11" s="189" t="s">
        <v>2086</v>
      </c>
      <c r="E11" s="1055">
        <v>0.05</v>
      </c>
      <c r="F11" s="1056"/>
      <c r="G11" s="1057">
        <f t="shared" si="0"/>
        <v>0</v>
      </c>
    </row>
    <row r="12" spans="1:256" ht="56.25">
      <c r="A12" s="1334"/>
      <c r="B12" s="1335"/>
      <c r="C12" s="1336"/>
      <c r="D12" s="1060" t="s">
        <v>2087</v>
      </c>
      <c r="E12" s="1055">
        <v>0.12</v>
      </c>
      <c r="F12" s="1056"/>
      <c r="G12" s="1057">
        <f t="shared" si="0"/>
        <v>0</v>
      </c>
    </row>
    <row r="13" spans="1:256" ht="112.5">
      <c r="A13" s="1334"/>
      <c r="B13" s="1335"/>
      <c r="C13" s="1336"/>
      <c r="D13" s="189" t="s">
        <v>2088</v>
      </c>
      <c r="E13" s="1055">
        <v>0.05</v>
      </c>
      <c r="F13" s="1056"/>
      <c r="G13" s="1057">
        <f t="shared" si="0"/>
        <v>0</v>
      </c>
    </row>
    <row r="14" spans="1:256" ht="93.75">
      <c r="A14" s="1334"/>
      <c r="B14" s="1335"/>
      <c r="C14" s="1336"/>
      <c r="D14" s="189" t="s">
        <v>2089</v>
      </c>
      <c r="E14" s="1055">
        <v>0.08</v>
      </c>
      <c r="F14" s="1056"/>
      <c r="G14" s="1057">
        <f t="shared" si="0"/>
        <v>0</v>
      </c>
    </row>
    <row r="15" spans="1:256" ht="75">
      <c r="A15" s="1337" t="s">
        <v>147</v>
      </c>
      <c r="B15" s="1339" t="s">
        <v>2090</v>
      </c>
      <c r="C15" s="1341">
        <v>0.25</v>
      </c>
      <c r="D15" s="1063" t="s">
        <v>2091</v>
      </c>
      <c r="E15" s="1055">
        <v>0.1</v>
      </c>
      <c r="F15" s="1056"/>
      <c r="G15" s="1057">
        <f t="shared" si="0"/>
        <v>0</v>
      </c>
    </row>
    <row r="16" spans="1:256" ht="56.25">
      <c r="A16" s="1338"/>
      <c r="B16" s="1340"/>
      <c r="C16" s="1342"/>
      <c r="D16" s="1059" t="s">
        <v>2092</v>
      </c>
      <c r="E16" s="1055">
        <v>0.1</v>
      </c>
      <c r="F16" s="1056"/>
      <c r="G16" s="1057">
        <f t="shared" si="0"/>
        <v>0</v>
      </c>
    </row>
    <row r="17" spans="1:7">
      <c r="A17" s="1338"/>
      <c r="B17" s="1340"/>
      <c r="C17" s="1342"/>
      <c r="D17" s="1059" t="s">
        <v>2093</v>
      </c>
      <c r="E17" s="1055">
        <v>0.1</v>
      </c>
      <c r="F17" s="1056"/>
      <c r="G17" s="1057">
        <f t="shared" si="0"/>
        <v>0</v>
      </c>
    </row>
    <row r="18" spans="1:7" ht="112.5">
      <c r="A18" s="1338"/>
      <c r="B18" s="1340"/>
      <c r="C18" s="1342"/>
      <c r="D18" s="1059" t="s">
        <v>2094</v>
      </c>
      <c r="E18" s="1055">
        <v>0.1</v>
      </c>
      <c r="F18" s="1056"/>
      <c r="G18" s="1057">
        <f t="shared" si="0"/>
        <v>0</v>
      </c>
    </row>
    <row r="19" spans="1:7" ht="206.25">
      <c r="A19" s="1338"/>
      <c r="B19" s="1340"/>
      <c r="C19" s="1342"/>
      <c r="D19" s="189" t="s">
        <v>2095</v>
      </c>
      <c r="E19" s="1055">
        <v>0.25</v>
      </c>
      <c r="F19" s="1056"/>
      <c r="G19" s="1057">
        <f t="shared" si="0"/>
        <v>0</v>
      </c>
    </row>
    <row r="20" spans="1:7" ht="93.75">
      <c r="A20" s="1338"/>
      <c r="B20" s="1340"/>
      <c r="C20" s="1342"/>
      <c r="D20" s="189" t="s">
        <v>2096</v>
      </c>
      <c r="E20" s="1055">
        <v>0.25</v>
      </c>
      <c r="F20" s="1056"/>
      <c r="G20" s="1057">
        <f t="shared" si="0"/>
        <v>0</v>
      </c>
    </row>
    <row r="21" spans="1:7" ht="56.25">
      <c r="A21" s="1338"/>
      <c r="B21" s="1340"/>
      <c r="C21" s="1342"/>
      <c r="D21" s="189" t="s">
        <v>2097</v>
      </c>
      <c r="E21" s="1055">
        <v>0.1</v>
      </c>
      <c r="F21" s="1056"/>
      <c r="G21" s="1057">
        <f t="shared" si="0"/>
        <v>0</v>
      </c>
    </row>
    <row r="22" spans="1:7" ht="112.5">
      <c r="A22" s="1334" t="s">
        <v>156</v>
      </c>
      <c r="B22" s="1335" t="s">
        <v>2098</v>
      </c>
      <c r="C22" s="1336">
        <v>0.2</v>
      </c>
      <c r="D22" s="189" t="s">
        <v>2099</v>
      </c>
      <c r="E22" s="1055">
        <v>0.5</v>
      </c>
      <c r="F22" s="1056"/>
      <c r="G22" s="1057">
        <f t="shared" si="0"/>
        <v>0</v>
      </c>
    </row>
    <row r="23" spans="1:7" ht="206.25">
      <c r="A23" s="1334"/>
      <c r="B23" s="1335"/>
      <c r="C23" s="1336"/>
      <c r="D23" s="189" t="s">
        <v>2100</v>
      </c>
      <c r="E23" s="1055">
        <v>0.5</v>
      </c>
      <c r="F23" s="1056"/>
      <c r="G23" s="1057">
        <f t="shared" si="0"/>
        <v>0</v>
      </c>
    </row>
    <row r="24" spans="1:7" ht="112.5">
      <c r="A24" s="1334" t="s">
        <v>164</v>
      </c>
      <c r="B24" s="1335" t="s">
        <v>418</v>
      </c>
      <c r="C24" s="1336">
        <v>0.09</v>
      </c>
      <c r="D24" s="189" t="s">
        <v>2309</v>
      </c>
      <c r="E24" s="1055">
        <v>0.8</v>
      </c>
      <c r="F24" s="1056"/>
      <c r="G24" s="1057">
        <f t="shared" si="0"/>
        <v>0</v>
      </c>
    </row>
    <row r="25" spans="1:7" ht="93.75">
      <c r="A25" s="1334"/>
      <c r="B25" s="1335"/>
      <c r="C25" s="1336"/>
      <c r="D25" s="189" t="s">
        <v>2310</v>
      </c>
      <c r="E25" s="1055">
        <v>0.2</v>
      </c>
      <c r="F25" s="1056"/>
      <c r="G25" s="1057">
        <f t="shared" si="0"/>
        <v>0</v>
      </c>
    </row>
    <row r="26" spans="1:7" ht="150">
      <c r="A26" s="1061" t="s">
        <v>1761</v>
      </c>
      <c r="B26" s="1054" t="s">
        <v>2311</v>
      </c>
      <c r="C26" s="1062">
        <v>0.08</v>
      </c>
      <c r="D26" s="189" t="s">
        <v>2312</v>
      </c>
      <c r="E26" s="1055">
        <v>1</v>
      </c>
      <c r="F26" s="1056"/>
      <c r="G26" s="1057">
        <f t="shared" si="0"/>
        <v>0</v>
      </c>
    </row>
    <row r="27" spans="1:7">
      <c r="A27" s="1061"/>
      <c r="B27" s="1054"/>
      <c r="C27" s="1062">
        <f>SUM(C3:C26)</f>
        <v>1</v>
      </c>
      <c r="D27" s="189"/>
      <c r="E27" s="1055"/>
      <c r="F27" s="1056"/>
      <c r="G27" s="1057">
        <f>SUM(G3:G26)</f>
        <v>0</v>
      </c>
    </row>
    <row r="28" spans="1:7">
      <c r="A28" s="1064"/>
      <c r="B28" s="1234" t="s">
        <v>2313</v>
      </c>
      <c r="C28" s="1234"/>
      <c r="D28" s="1234"/>
      <c r="E28" s="1064"/>
      <c r="F28" s="1064"/>
      <c r="G28" s="1079" t="str">
        <f>IF(G27&lt;=0.65,"низький",IF(G27&lt;=0.75,"середній",IF(G27&lt;=0.95,"достатній","високий")))</f>
        <v>низький</v>
      </c>
    </row>
    <row r="29" spans="1:7">
      <c r="A29" s="1065" t="s">
        <v>182</v>
      </c>
      <c r="B29" s="1066"/>
      <c r="C29" s="1067"/>
      <c r="D29" s="1066"/>
      <c r="E29" s="1068"/>
      <c r="F29" s="1069"/>
      <c r="G29" s="1070"/>
    </row>
    <row r="30" spans="1:7" ht="20.25">
      <c r="A30" s="1065" t="s">
        <v>2314</v>
      </c>
      <c r="B30" s="1066"/>
      <c r="C30" s="1067"/>
      <c r="D30" s="1066"/>
      <c r="E30" s="1068"/>
      <c r="F30" s="1069"/>
      <c r="G30" s="1070"/>
    </row>
    <row r="31" spans="1:7" ht="20.25">
      <c r="A31" s="1065" t="s">
        <v>2315</v>
      </c>
      <c r="B31" s="1066"/>
      <c r="C31" s="1067"/>
      <c r="D31" s="1066"/>
      <c r="E31" s="1068"/>
      <c r="F31" s="1069"/>
      <c r="G31" s="1070"/>
    </row>
    <row r="32" spans="1:7" ht="20.25">
      <c r="A32" s="1065" t="s">
        <v>2316</v>
      </c>
      <c r="B32" s="1066"/>
      <c r="C32" s="1067"/>
      <c r="D32" s="1066"/>
      <c r="E32" s="1068"/>
      <c r="F32" s="1069"/>
      <c r="G32" s="1070"/>
    </row>
    <row r="33" spans="1:7" ht="20.25">
      <c r="A33" s="1065" t="s">
        <v>2317</v>
      </c>
      <c r="B33" s="1066"/>
      <c r="C33" s="1067"/>
      <c r="D33" s="1066"/>
      <c r="E33" s="1068"/>
      <c r="F33" s="1069"/>
      <c r="G33" s="1070"/>
    </row>
    <row r="34" spans="1:7" ht="20.25">
      <c r="A34" s="1065" t="s">
        <v>2318</v>
      </c>
      <c r="B34" s="1066"/>
      <c r="C34" s="1067"/>
      <c r="D34" s="1066"/>
      <c r="E34" s="1068"/>
      <c r="F34" s="1069"/>
      <c r="G34" s="1070"/>
    </row>
    <row r="35" spans="1:7" ht="20.25">
      <c r="A35" s="1065" t="s">
        <v>2319</v>
      </c>
      <c r="B35" s="1066"/>
      <c r="C35" s="1067"/>
      <c r="D35" s="1066"/>
      <c r="E35" s="1068"/>
      <c r="F35" s="1069"/>
      <c r="G35" s="1070"/>
    </row>
    <row r="36" spans="1:7" ht="20.25">
      <c r="A36" s="1065" t="s">
        <v>2320</v>
      </c>
      <c r="B36" s="1066"/>
      <c r="C36" s="1067"/>
      <c r="D36" s="1066"/>
      <c r="E36" s="1068"/>
      <c r="F36" s="1069"/>
      <c r="G36" s="1070"/>
    </row>
    <row r="37" spans="1:7">
      <c r="A37" s="1071" t="s">
        <v>2321</v>
      </c>
      <c r="B37" s="1066"/>
      <c r="C37" s="1067"/>
      <c r="D37" s="1066"/>
      <c r="E37" s="1068"/>
      <c r="F37" s="1069"/>
      <c r="G37" s="1070"/>
    </row>
    <row r="38" spans="1:7">
      <c r="A38" s="1065" t="s">
        <v>2322</v>
      </c>
      <c r="B38" s="1066"/>
      <c r="C38" s="1067"/>
      <c r="D38" s="1066"/>
      <c r="E38" s="1068"/>
      <c r="F38" s="1069"/>
      <c r="G38" s="1070"/>
    </row>
    <row r="39" spans="1:7">
      <c r="A39" s="1065" t="s">
        <v>2323</v>
      </c>
      <c r="B39" s="1066"/>
      <c r="C39" s="1067"/>
      <c r="D39" s="1066"/>
      <c r="E39" s="1068"/>
      <c r="F39" s="1069"/>
      <c r="G39" s="1070"/>
    </row>
    <row r="40" spans="1:7">
      <c r="A40" s="1065" t="s">
        <v>2324</v>
      </c>
      <c r="B40" s="1066"/>
      <c r="C40" s="1067"/>
      <c r="D40" s="1066"/>
      <c r="E40" s="1068"/>
      <c r="F40" s="1069"/>
      <c r="G40" s="1070"/>
    </row>
    <row r="41" spans="1:7">
      <c r="A41" s="1065" t="s">
        <v>2325</v>
      </c>
      <c r="B41" s="1066"/>
      <c r="C41" s="1067"/>
      <c r="D41" s="1066"/>
      <c r="E41" s="1068"/>
      <c r="F41" s="1069"/>
      <c r="G41" s="1070"/>
    </row>
    <row r="42" spans="1:7">
      <c r="A42" s="1072"/>
      <c r="B42" s="1072" t="s">
        <v>20</v>
      </c>
      <c r="C42" s="1067"/>
      <c r="D42" s="1072"/>
      <c r="E42" s="1072"/>
      <c r="F42" s="1072"/>
      <c r="G42" s="1072"/>
    </row>
    <row r="43" spans="1:7">
      <c r="A43" s="1073"/>
      <c r="B43" s="1073"/>
      <c r="C43" s="1074"/>
      <c r="D43" s="1073"/>
      <c r="E43" s="1073"/>
      <c r="F43" s="1073"/>
      <c r="G43" s="1073"/>
    </row>
    <row r="44" spans="1:7">
      <c r="A44" s="1073"/>
      <c r="B44" s="1073"/>
      <c r="C44" s="1074"/>
      <c r="D44" s="1073"/>
      <c r="E44" s="1073"/>
      <c r="F44" s="1073"/>
      <c r="G44" s="1073"/>
    </row>
    <row r="45" spans="1:7">
      <c r="A45" s="1073"/>
      <c r="B45" s="1073"/>
      <c r="C45" s="1074"/>
      <c r="D45" s="1073"/>
      <c r="E45" s="1073"/>
      <c r="F45" s="1073"/>
      <c r="G45" s="1073"/>
    </row>
    <row r="46" spans="1:7">
      <c r="A46" s="1073"/>
      <c r="B46" s="1073"/>
      <c r="C46" s="1074"/>
      <c r="D46" s="1073"/>
      <c r="E46" s="1073"/>
      <c r="F46" s="1073"/>
      <c r="G46" s="1073"/>
    </row>
    <row r="47" spans="1:7">
      <c r="A47" s="1073"/>
      <c r="B47" s="1073"/>
      <c r="C47" s="1074"/>
      <c r="D47" s="1073"/>
      <c r="E47" s="1073"/>
      <c r="F47" s="1073"/>
      <c r="G47" s="1073"/>
    </row>
    <row r="48" spans="1:7">
      <c r="A48" s="1073"/>
      <c r="B48" s="1073"/>
      <c r="C48" s="1074"/>
      <c r="D48" s="1073"/>
      <c r="E48" s="1073"/>
      <c r="F48" s="1073"/>
      <c r="G48" s="1073"/>
    </row>
    <row r="49" spans="1:7">
      <c r="A49" s="1073"/>
      <c r="B49" s="1073"/>
      <c r="C49" s="1074"/>
      <c r="D49" s="1073"/>
      <c r="E49" s="1073"/>
      <c r="F49" s="1073"/>
      <c r="G49" s="1073"/>
    </row>
    <row r="50" spans="1:7">
      <c r="A50" s="1073"/>
      <c r="B50" s="1073"/>
      <c r="C50" s="1074"/>
      <c r="D50" s="1073"/>
      <c r="E50" s="1073"/>
      <c r="F50" s="1073"/>
      <c r="G50" s="1073"/>
    </row>
    <row r="51" spans="1:7">
      <c r="A51" s="1073"/>
      <c r="B51" s="1073"/>
      <c r="C51" s="1074"/>
      <c r="D51" s="1073"/>
      <c r="E51" s="1073"/>
      <c r="F51" s="1073"/>
      <c r="G51" s="1073"/>
    </row>
    <row r="52" spans="1:7">
      <c r="A52" s="1073"/>
      <c r="B52" s="1073"/>
      <c r="C52" s="1074"/>
      <c r="D52" s="1073"/>
      <c r="E52" s="1073"/>
      <c r="F52" s="1073"/>
      <c r="G52" s="1073"/>
    </row>
    <row r="53" spans="1:7">
      <c r="A53" s="1073"/>
      <c r="B53" s="1073"/>
      <c r="C53" s="1074"/>
      <c r="D53" s="1073"/>
      <c r="E53" s="1073"/>
      <c r="F53" s="1073"/>
      <c r="G53" s="1073"/>
    </row>
    <row r="54" spans="1:7">
      <c r="A54" s="1073"/>
      <c r="B54" s="1073"/>
      <c r="C54" s="1074"/>
      <c r="D54" s="1073"/>
      <c r="E54" s="1073"/>
      <c r="F54" s="1073"/>
      <c r="G54" s="1073"/>
    </row>
    <row r="55" spans="1:7">
      <c r="A55" s="1073"/>
      <c r="B55" s="1073"/>
      <c r="C55" s="1074"/>
      <c r="D55" s="1073"/>
      <c r="E55" s="1073"/>
      <c r="F55" s="1073"/>
      <c r="G55" s="1073"/>
    </row>
    <row r="56" spans="1:7">
      <c r="A56" s="1073"/>
      <c r="B56" s="1073"/>
      <c r="C56" s="1074"/>
      <c r="D56" s="1073"/>
      <c r="E56" s="1073"/>
      <c r="F56" s="1073"/>
      <c r="G56" s="1073"/>
    </row>
    <row r="57" spans="1:7">
      <c r="A57" s="1072"/>
      <c r="B57" s="1075" t="s">
        <v>2418</v>
      </c>
      <c r="C57" s="1076"/>
      <c r="D57" s="1075"/>
      <c r="E57" s="1075"/>
      <c r="F57" s="1075"/>
      <c r="G57" s="1075"/>
    </row>
    <row r="58" spans="1:7">
      <c r="A58" s="1072"/>
      <c r="B58" s="1077"/>
      <c r="C58" s="1078"/>
      <c r="D58" s="1077"/>
      <c r="E58" s="1077"/>
      <c r="F58" s="1077"/>
      <c r="G58" s="1077"/>
    </row>
    <row r="59" spans="1:7">
      <c r="A59" s="1072"/>
      <c r="B59" s="1075" t="s">
        <v>22</v>
      </c>
      <c r="C59" s="1076"/>
      <c r="D59" s="1075"/>
      <c r="E59" s="1075"/>
      <c r="F59" s="1075"/>
      <c r="G59" s="1075"/>
    </row>
    <row r="60" spans="1:7">
      <c r="A60" s="1072"/>
      <c r="B60" s="1077"/>
      <c r="C60" s="1078"/>
      <c r="D60" s="1077"/>
      <c r="E60" s="1077"/>
      <c r="F60" s="1077"/>
      <c r="G60" s="1077"/>
    </row>
    <row r="61" spans="1:7">
      <c r="A61" s="1072"/>
      <c r="B61" s="1075" t="s">
        <v>23</v>
      </c>
      <c r="C61" s="1076"/>
      <c r="D61" s="1075"/>
      <c r="E61" s="1075"/>
      <c r="F61" s="1075"/>
      <c r="G61" s="1075"/>
    </row>
    <row r="62" spans="1:7">
      <c r="A62" s="1072"/>
      <c r="B62" s="1075" t="s">
        <v>24</v>
      </c>
      <c r="C62" s="1076"/>
      <c r="D62" s="1075"/>
      <c r="E62" s="1075"/>
      <c r="F62" s="1075"/>
      <c r="G62" s="1075"/>
    </row>
    <row r="63" spans="1:7">
      <c r="A63" s="1072"/>
      <c r="B63" s="1078"/>
      <c r="C63" s="1067"/>
      <c r="D63" s="1068"/>
      <c r="E63" s="1068"/>
      <c r="F63" s="1069"/>
      <c r="G63" s="1070"/>
    </row>
  </sheetData>
  <mergeCells count="17">
    <mergeCell ref="A24:A25"/>
    <mergeCell ref="B24:B25"/>
    <mergeCell ref="C24:C25"/>
    <mergeCell ref="B28:D28"/>
    <mergeCell ref="A15:A21"/>
    <mergeCell ref="B15:B21"/>
    <mergeCell ref="C15:C21"/>
    <mergeCell ref="A22:A23"/>
    <mergeCell ref="B22:B23"/>
    <mergeCell ref="C22:C23"/>
    <mergeCell ref="A1:G1"/>
    <mergeCell ref="A3:A4"/>
    <mergeCell ref="B3:B4"/>
    <mergeCell ref="C3:C4"/>
    <mergeCell ref="A5:A14"/>
    <mergeCell ref="B5:B14"/>
    <mergeCell ref="C5:C14"/>
  </mergeCells>
  <phoneticPr fontId="4" type="noConversion"/>
  <pageMargins left="0.7" right="0.7" top="0.75" bottom="0.75" header="0.3" footer="0.3"/>
  <pageSetup paperSize="9" scale="55" orientation="portrait" r:id="rId1"/>
</worksheet>
</file>

<file path=xl/worksheets/sheet35.xml><?xml version="1.0" encoding="utf-8"?>
<worksheet xmlns="http://schemas.openxmlformats.org/spreadsheetml/2006/main" xmlns:r="http://schemas.openxmlformats.org/officeDocument/2006/relationships">
  <dimension ref="A1:L71"/>
  <sheetViews>
    <sheetView workbookViewId="0">
      <selection activeCell="A2" sqref="A2:H2"/>
    </sheetView>
  </sheetViews>
  <sheetFormatPr defaultRowHeight="16.5"/>
  <cols>
    <col min="1" max="1" width="9.140625" style="407"/>
    <col min="2" max="2" width="35.28515625" style="407" customWidth="1"/>
    <col min="3" max="3" width="11.85546875" style="1006" customWidth="1"/>
    <col min="4" max="4" width="9.140625" style="407"/>
    <col min="5" max="5" width="40.42578125" style="1046" customWidth="1"/>
    <col min="6" max="6" width="13.5703125" style="407" customWidth="1"/>
    <col min="7" max="7" width="9.140625" style="407"/>
    <col min="8" max="8" width="13.5703125" style="407" customWidth="1"/>
    <col min="9" max="16384" width="9.140625" style="407"/>
  </cols>
  <sheetData>
    <row r="1" spans="1:8" ht="18.75">
      <c r="D1" s="408"/>
      <c r="E1" s="370"/>
      <c r="F1" s="408"/>
      <c r="G1" s="1006"/>
      <c r="H1" s="377"/>
    </row>
    <row r="2" spans="1:8" ht="42" customHeight="1">
      <c r="A2" s="1161" t="s">
        <v>2218</v>
      </c>
      <c r="B2" s="1162"/>
      <c r="C2" s="1162"/>
      <c r="D2" s="1162"/>
      <c r="E2" s="1162"/>
      <c r="F2" s="1162"/>
      <c r="G2" s="1162"/>
      <c r="H2" s="1163"/>
    </row>
    <row r="3" spans="1:8" ht="48" customHeight="1">
      <c r="A3" s="631" t="s">
        <v>1443</v>
      </c>
      <c r="B3" s="631" t="s">
        <v>1444</v>
      </c>
      <c r="C3" s="631" t="s">
        <v>1445</v>
      </c>
      <c r="D3" s="1037"/>
      <c r="E3" s="1028" t="s">
        <v>452</v>
      </c>
      <c r="F3" s="633" t="s">
        <v>1445</v>
      </c>
      <c r="G3" s="630" t="s">
        <v>399</v>
      </c>
      <c r="H3" s="633" t="s">
        <v>1473</v>
      </c>
    </row>
    <row r="4" spans="1:8" ht="47.25" customHeight="1">
      <c r="A4" s="1164">
        <v>1</v>
      </c>
      <c r="B4" s="1165" t="s">
        <v>2219</v>
      </c>
      <c r="C4" s="1343">
        <v>0.25</v>
      </c>
      <c r="D4" s="359">
        <v>1</v>
      </c>
      <c r="E4" s="283" t="s">
        <v>2220</v>
      </c>
      <c r="F4" s="1038">
        <f>3.5/15</f>
        <v>0.23333333333333334</v>
      </c>
      <c r="G4" s="359"/>
      <c r="H4" s="1038">
        <f>G4*F4</f>
        <v>0</v>
      </c>
    </row>
    <row r="5" spans="1:8" ht="51" customHeight="1">
      <c r="A5" s="1164"/>
      <c r="B5" s="1165"/>
      <c r="C5" s="1343"/>
      <c r="D5" s="359">
        <v>2</v>
      </c>
      <c r="E5" s="1029" t="s">
        <v>2221</v>
      </c>
      <c r="F5" s="1038">
        <f>5/15</f>
        <v>0.33333333333333331</v>
      </c>
      <c r="G5" s="359"/>
      <c r="H5" s="1038">
        <f>G5*F5</f>
        <v>0</v>
      </c>
    </row>
    <row r="6" spans="1:8" ht="84.75" customHeight="1">
      <c r="A6" s="1164"/>
      <c r="B6" s="1165"/>
      <c r="C6" s="1343"/>
      <c r="D6" s="359">
        <v>3</v>
      </c>
      <c r="E6" s="1030" t="s">
        <v>2222</v>
      </c>
      <c r="F6" s="1038">
        <f>3.5/15</f>
        <v>0.23333333333333334</v>
      </c>
      <c r="G6" s="359"/>
      <c r="H6" s="1038">
        <f>G6*F6</f>
        <v>0</v>
      </c>
    </row>
    <row r="7" spans="1:8" ht="24.75" customHeight="1">
      <c r="A7" s="1164"/>
      <c r="B7" s="1165"/>
      <c r="C7" s="1343"/>
      <c r="D7" s="359">
        <v>4</v>
      </c>
      <c r="E7" s="283" t="s">
        <v>2223</v>
      </c>
      <c r="F7" s="1038">
        <f>2/15</f>
        <v>0.13333333333333333</v>
      </c>
      <c r="G7" s="359"/>
      <c r="H7" s="1038">
        <f>G7*F7</f>
        <v>0</v>
      </c>
    </row>
    <row r="8" spans="1:8" ht="33.75" customHeight="1">
      <c r="A8" s="1164"/>
      <c r="B8" s="1165"/>
      <c r="C8" s="1343"/>
      <c r="D8" s="359">
        <v>5</v>
      </c>
      <c r="E8" s="932" t="s">
        <v>2224</v>
      </c>
      <c r="F8" s="1038">
        <f>1/15</f>
        <v>6.6666666666666666E-2</v>
      </c>
      <c r="G8" s="359"/>
      <c r="H8" s="1038">
        <f>G8*F8</f>
        <v>0</v>
      </c>
    </row>
    <row r="9" spans="1:8" ht="18.75">
      <c r="A9" s="1164"/>
      <c r="B9" s="1165"/>
      <c r="C9" s="1343"/>
      <c r="D9" s="634">
        <f>SUM(D4:D8)</f>
        <v>15</v>
      </c>
      <c r="E9" s="371"/>
      <c r="F9" s="360">
        <f>SUM(F4:F8)</f>
        <v>1</v>
      </c>
      <c r="G9" s="634"/>
      <c r="H9" s="360">
        <f>SUM(H4:H8)*C4</f>
        <v>0</v>
      </c>
    </row>
    <row r="10" spans="1:8" ht="48.75" customHeight="1">
      <c r="A10" s="1164">
        <v>2</v>
      </c>
      <c r="B10" s="1165" t="s">
        <v>2225</v>
      </c>
      <c r="C10" s="1343">
        <v>0.25</v>
      </c>
      <c r="D10" s="359">
        <v>1</v>
      </c>
      <c r="E10" s="928" t="s">
        <v>2226</v>
      </c>
      <c r="F10" s="1038">
        <f>6.5/55</f>
        <v>0.11818181818181818</v>
      </c>
      <c r="G10" s="359"/>
      <c r="H10" s="1038">
        <f>G10*F10</f>
        <v>0</v>
      </c>
    </row>
    <row r="11" spans="1:8" ht="31.5">
      <c r="A11" s="1164"/>
      <c r="B11" s="1165"/>
      <c r="C11" s="1343"/>
      <c r="D11" s="359">
        <v>2</v>
      </c>
      <c r="E11" s="932" t="s">
        <v>2227</v>
      </c>
      <c r="F11" s="1038">
        <f>4/55</f>
        <v>7.2727272727272724E-2</v>
      </c>
      <c r="G11" s="359"/>
      <c r="H11" s="1038">
        <f>G11*F11</f>
        <v>0</v>
      </c>
    </row>
    <row r="12" spans="1:8" ht="32.25" customHeight="1">
      <c r="A12" s="1164"/>
      <c r="B12" s="1165"/>
      <c r="C12" s="1343"/>
      <c r="D12" s="824">
        <v>3</v>
      </c>
      <c r="E12" s="1030" t="s">
        <v>2228</v>
      </c>
      <c r="F12" s="1038">
        <f>4/55</f>
        <v>7.2727272727272724E-2</v>
      </c>
      <c r="G12" s="824"/>
      <c r="H12" s="1038">
        <f>G12*F12</f>
        <v>0</v>
      </c>
    </row>
    <row r="13" spans="1:8" ht="32.25" customHeight="1">
      <c r="A13" s="1164"/>
      <c r="B13" s="1165"/>
      <c r="C13" s="1343"/>
      <c r="D13" s="824">
        <v>4</v>
      </c>
      <c r="E13" s="932" t="s">
        <v>2229</v>
      </c>
      <c r="F13" s="1038">
        <f>4/55</f>
        <v>7.2727272727272724E-2</v>
      </c>
      <c r="G13" s="824"/>
      <c r="H13" s="1038">
        <f t="shared" ref="H13:H19" si="0">G13*F13</f>
        <v>0</v>
      </c>
    </row>
    <row r="14" spans="1:8" ht="64.5" customHeight="1">
      <c r="A14" s="1164"/>
      <c r="B14" s="1165"/>
      <c r="C14" s="1343"/>
      <c r="D14" s="824">
        <v>5</v>
      </c>
      <c r="E14" s="283" t="s">
        <v>2230</v>
      </c>
      <c r="F14" s="1038">
        <f>6.5/55</f>
        <v>0.11818181818181818</v>
      </c>
      <c r="G14" s="824"/>
      <c r="H14" s="1038">
        <f t="shared" si="0"/>
        <v>0</v>
      </c>
    </row>
    <row r="15" spans="1:8" ht="52.5" customHeight="1">
      <c r="A15" s="1164"/>
      <c r="B15" s="1165"/>
      <c r="C15" s="1343"/>
      <c r="D15" s="824">
        <v>6</v>
      </c>
      <c r="E15" s="1031" t="s">
        <v>2231</v>
      </c>
      <c r="F15" s="1038">
        <f>9/55</f>
        <v>0.16363636363636364</v>
      </c>
      <c r="G15" s="824"/>
      <c r="H15" s="1038">
        <f t="shared" si="0"/>
        <v>0</v>
      </c>
    </row>
    <row r="16" spans="1:8" ht="36" customHeight="1">
      <c r="A16" s="1164"/>
      <c r="B16" s="1165"/>
      <c r="C16" s="1343"/>
      <c r="D16" s="824">
        <v>7</v>
      </c>
      <c r="E16" s="283" t="s">
        <v>2232</v>
      </c>
      <c r="F16" s="1038">
        <f>2/55</f>
        <v>3.6363636363636362E-2</v>
      </c>
      <c r="G16" s="824"/>
      <c r="H16" s="1038">
        <f t="shared" si="0"/>
        <v>0</v>
      </c>
    </row>
    <row r="17" spans="1:12" ht="47.25" customHeight="1">
      <c r="A17" s="1164"/>
      <c r="B17" s="1165"/>
      <c r="C17" s="1343"/>
      <c r="D17" s="824">
        <v>8</v>
      </c>
      <c r="E17" s="932" t="s">
        <v>2233</v>
      </c>
      <c r="F17" s="1038">
        <f>9/55</f>
        <v>0.16363636363636364</v>
      </c>
      <c r="G17" s="824"/>
      <c r="H17" s="1038">
        <f t="shared" si="0"/>
        <v>0</v>
      </c>
    </row>
    <row r="18" spans="1:12" ht="38.25" customHeight="1">
      <c r="A18" s="1164"/>
      <c r="B18" s="1165"/>
      <c r="C18" s="1343"/>
      <c r="D18" s="824">
        <v>9</v>
      </c>
      <c r="E18" s="1030" t="s">
        <v>2234</v>
      </c>
      <c r="F18" s="1038">
        <f>9/55</f>
        <v>0.16363636363636364</v>
      </c>
      <c r="G18" s="824"/>
      <c r="H18" s="1038">
        <f t="shared" si="0"/>
        <v>0</v>
      </c>
    </row>
    <row r="19" spans="1:12" ht="54.75" customHeight="1">
      <c r="A19" s="1164"/>
      <c r="B19" s="1165"/>
      <c r="C19" s="1343"/>
      <c r="D19" s="824">
        <v>10</v>
      </c>
      <c r="E19" s="932" t="s">
        <v>2235</v>
      </c>
      <c r="F19" s="1038">
        <f>1/55</f>
        <v>1.8181818181818181E-2</v>
      </c>
      <c r="G19" s="824"/>
      <c r="H19" s="1038">
        <f t="shared" si="0"/>
        <v>0</v>
      </c>
      <c r="L19" s="401"/>
    </row>
    <row r="20" spans="1:12" ht="18.75">
      <c r="A20" s="1164"/>
      <c r="B20" s="1165"/>
      <c r="C20" s="1343"/>
      <c r="D20" s="634">
        <f>SUM(D10:D19)</f>
        <v>55</v>
      </c>
      <c r="E20" s="371"/>
      <c r="F20" s="360">
        <f>SUM(F10:F19)</f>
        <v>0.99999999999999989</v>
      </c>
      <c r="G20" s="634"/>
      <c r="H20" s="360">
        <f>SUM(H10:H19)*C10</f>
        <v>0</v>
      </c>
    </row>
    <row r="21" spans="1:12" ht="87.75" customHeight="1">
      <c r="A21" s="1164">
        <v>3</v>
      </c>
      <c r="B21" s="1165" t="s">
        <v>2236</v>
      </c>
      <c r="C21" s="1343">
        <v>0.25</v>
      </c>
      <c r="D21" s="359">
        <v>1</v>
      </c>
      <c r="E21" s="283" t="s">
        <v>2237</v>
      </c>
      <c r="F21" s="360">
        <f>1.5/6</f>
        <v>0.25</v>
      </c>
      <c r="G21" s="359"/>
      <c r="H21" s="360">
        <f>G21*F21</f>
        <v>0</v>
      </c>
    </row>
    <row r="22" spans="1:12" ht="36.75" customHeight="1">
      <c r="A22" s="1164"/>
      <c r="B22" s="1165"/>
      <c r="C22" s="1343"/>
      <c r="D22" s="359">
        <v>2</v>
      </c>
      <c r="E22" s="932" t="s">
        <v>2238</v>
      </c>
      <c r="F22" s="360">
        <f>3/6</f>
        <v>0.5</v>
      </c>
      <c r="G22" s="359"/>
      <c r="H22" s="360">
        <f>G22*F22</f>
        <v>0</v>
      </c>
    </row>
    <row r="23" spans="1:12" ht="48" customHeight="1">
      <c r="A23" s="1164"/>
      <c r="B23" s="1165"/>
      <c r="C23" s="1343"/>
      <c r="D23" s="359">
        <v>3</v>
      </c>
      <c r="E23" s="283" t="s">
        <v>2239</v>
      </c>
      <c r="F23" s="360">
        <f>1.5/6</f>
        <v>0.25</v>
      </c>
      <c r="G23" s="359"/>
      <c r="H23" s="360">
        <f>G23*F23</f>
        <v>0</v>
      </c>
    </row>
    <row r="24" spans="1:12" ht="18.75">
      <c r="A24" s="1164"/>
      <c r="B24" s="1165"/>
      <c r="C24" s="1343"/>
      <c r="D24" s="634">
        <f>SUM(D21:D23)</f>
        <v>6</v>
      </c>
      <c r="E24" s="827"/>
      <c r="F24" s="360">
        <f>SUM(F21:F23)</f>
        <v>1</v>
      </c>
      <c r="G24" s="634"/>
      <c r="H24" s="360">
        <f>SUM(H21:H23)*C21</f>
        <v>0</v>
      </c>
    </row>
    <row r="25" spans="1:12" ht="49.5" customHeight="1">
      <c r="A25" s="1164">
        <v>4</v>
      </c>
      <c r="B25" s="1165" t="s">
        <v>2240</v>
      </c>
      <c r="C25" s="1343">
        <v>0.25</v>
      </c>
      <c r="D25" s="359">
        <v>1</v>
      </c>
      <c r="E25" s="283" t="s">
        <v>2241</v>
      </c>
      <c r="F25" s="1038">
        <f>3.5/28</f>
        <v>0.125</v>
      </c>
      <c r="G25" s="359"/>
      <c r="H25" s="1038">
        <f>G25*F25</f>
        <v>0</v>
      </c>
    </row>
    <row r="26" spans="1:12" ht="34.5" customHeight="1">
      <c r="A26" s="1164"/>
      <c r="B26" s="1165"/>
      <c r="C26" s="1343"/>
      <c r="D26" s="359">
        <v>2</v>
      </c>
      <c r="E26" s="932" t="s">
        <v>2242</v>
      </c>
      <c r="F26" s="1038">
        <f>3.5/28</f>
        <v>0.125</v>
      </c>
      <c r="G26" s="359"/>
      <c r="H26" s="1038">
        <f t="shared" ref="H26:H31" si="1">G26*F26</f>
        <v>0</v>
      </c>
    </row>
    <row r="27" spans="1:12" ht="52.5" customHeight="1">
      <c r="A27" s="1164"/>
      <c r="B27" s="1165"/>
      <c r="C27" s="1343"/>
      <c r="D27" s="359">
        <v>3</v>
      </c>
      <c r="E27" s="283" t="s">
        <v>2047</v>
      </c>
      <c r="F27" s="1038">
        <f>3.5/28</f>
        <v>0.125</v>
      </c>
      <c r="G27" s="359"/>
      <c r="H27" s="1038">
        <f t="shared" si="1"/>
        <v>0</v>
      </c>
    </row>
    <row r="28" spans="1:12" ht="60.75" customHeight="1">
      <c r="A28" s="1164"/>
      <c r="B28" s="1165"/>
      <c r="C28" s="1343"/>
      <c r="D28" s="359">
        <v>4</v>
      </c>
      <c r="E28" s="932" t="s">
        <v>2048</v>
      </c>
      <c r="F28" s="1038">
        <f>7/28</f>
        <v>0.25</v>
      </c>
      <c r="G28" s="359"/>
      <c r="H28" s="1038">
        <f t="shared" si="1"/>
        <v>0</v>
      </c>
    </row>
    <row r="29" spans="1:12" ht="84.75" customHeight="1">
      <c r="A29" s="1164"/>
      <c r="B29" s="1165"/>
      <c r="C29" s="1343"/>
      <c r="D29" s="359">
        <v>5</v>
      </c>
      <c r="E29" s="661" t="s">
        <v>2049</v>
      </c>
      <c r="F29" s="1038">
        <f>3.5/28</f>
        <v>0.125</v>
      </c>
      <c r="G29" s="359"/>
      <c r="H29" s="1038">
        <f t="shared" si="1"/>
        <v>0</v>
      </c>
    </row>
    <row r="30" spans="1:12" ht="65.25" customHeight="1">
      <c r="A30" s="1164"/>
      <c r="B30" s="1165"/>
      <c r="C30" s="1343"/>
      <c r="D30" s="359">
        <v>6</v>
      </c>
      <c r="E30" s="283" t="s">
        <v>2050</v>
      </c>
      <c r="F30" s="1038">
        <f>3.5/28</f>
        <v>0.125</v>
      </c>
      <c r="G30" s="359"/>
      <c r="H30" s="1038">
        <f t="shared" si="1"/>
        <v>0</v>
      </c>
    </row>
    <row r="31" spans="1:12" ht="87.75" customHeight="1">
      <c r="A31" s="1164"/>
      <c r="B31" s="1165"/>
      <c r="C31" s="1343"/>
      <c r="D31" s="359">
        <v>7</v>
      </c>
      <c r="E31" s="932" t="s">
        <v>2051</v>
      </c>
      <c r="F31" s="1038">
        <f>3.5/28</f>
        <v>0.125</v>
      </c>
      <c r="G31" s="359"/>
      <c r="H31" s="1038">
        <f t="shared" si="1"/>
        <v>0</v>
      </c>
    </row>
    <row r="32" spans="1:12" ht="18.75">
      <c r="A32" s="1164"/>
      <c r="B32" s="1165"/>
      <c r="C32" s="1343"/>
      <c r="D32" s="634">
        <f>SUM(D25:D31)</f>
        <v>28</v>
      </c>
      <c r="E32" s="1032"/>
      <c r="F32" s="1038">
        <f>SUM(F25:F31)</f>
        <v>1</v>
      </c>
      <c r="G32" s="634"/>
      <c r="H32" s="1038">
        <f>SUM(H25:H31)*C25</f>
        <v>0</v>
      </c>
    </row>
    <row r="33" spans="1:8" ht="18.75">
      <c r="A33" s="1344" t="s">
        <v>443</v>
      </c>
      <c r="B33" s="1344"/>
      <c r="C33" s="1344"/>
      <c r="D33" s="1344"/>
      <c r="E33" s="1344"/>
      <c r="F33" s="1344"/>
      <c r="G33" s="1039"/>
      <c r="H33" s="1040">
        <f>H9+H20+H24+H32</f>
        <v>0</v>
      </c>
    </row>
    <row r="34" spans="1:8" ht="18.75">
      <c r="A34" s="1344" t="s">
        <v>444</v>
      </c>
      <c r="B34" s="1344"/>
      <c r="C34" s="1344"/>
      <c r="D34" s="1344"/>
      <c r="E34" s="1344"/>
      <c r="F34" s="1344"/>
      <c r="G34" s="1039"/>
      <c r="H34" s="1040" t="str">
        <f>IF(H33&lt;=0.65,"низький",IF(H33&lt;=0.75,"середній",IF(H33&lt;=0.95,"достатній","високий")))</f>
        <v>низький</v>
      </c>
    </row>
    <row r="35" spans="1:8" s="25" customFormat="1" ht="15.75">
      <c r="A35" s="288" t="s">
        <v>182</v>
      </c>
      <c r="B35" s="289"/>
      <c r="C35" s="59"/>
      <c r="E35" s="642"/>
      <c r="F35" s="643"/>
      <c r="G35" s="112"/>
    </row>
    <row r="36" spans="1:8" s="25" customFormat="1" ht="17.25">
      <c r="A36" s="288" t="s">
        <v>589</v>
      </c>
      <c r="B36" s="289"/>
      <c r="C36" s="59"/>
      <c r="E36" s="642"/>
      <c r="F36" s="643"/>
      <c r="G36" s="112"/>
    </row>
    <row r="37" spans="1:8" s="25" customFormat="1" ht="17.25">
      <c r="A37" s="288" t="s">
        <v>590</v>
      </c>
      <c r="B37" s="289"/>
      <c r="C37" s="59"/>
      <c r="E37" s="642"/>
      <c r="F37" s="643"/>
      <c r="G37" s="112"/>
    </row>
    <row r="38" spans="1:8" s="25" customFormat="1" ht="17.25">
      <c r="A38" s="288" t="s">
        <v>591</v>
      </c>
      <c r="B38" s="289"/>
      <c r="C38" s="59"/>
      <c r="E38" s="642"/>
      <c r="F38" s="643"/>
      <c r="G38" s="112"/>
    </row>
    <row r="39" spans="1:8" s="25" customFormat="1" ht="17.25">
      <c r="A39" s="288" t="s">
        <v>592</v>
      </c>
      <c r="B39" s="289"/>
      <c r="C39" s="59"/>
      <c r="E39" s="642"/>
      <c r="F39" s="643"/>
      <c r="G39" s="112"/>
    </row>
    <row r="40" spans="1:8" s="25" customFormat="1" ht="17.25">
      <c r="A40" s="288" t="s">
        <v>593</v>
      </c>
      <c r="B40" s="289"/>
      <c r="C40" s="59"/>
      <c r="E40" s="642"/>
      <c r="F40" s="643"/>
      <c r="G40" s="112"/>
    </row>
    <row r="41" spans="1:8" s="25" customFormat="1" ht="17.25">
      <c r="A41" s="288" t="s">
        <v>594</v>
      </c>
      <c r="B41" s="289"/>
      <c r="C41" s="59"/>
      <c r="E41" s="642"/>
      <c r="F41" s="643"/>
      <c r="G41" s="112"/>
    </row>
    <row r="42" spans="1:8" s="25" customFormat="1" ht="17.25">
      <c r="A42" s="288" t="s">
        <v>595</v>
      </c>
      <c r="B42" s="289"/>
      <c r="C42" s="59"/>
      <c r="E42" s="642"/>
      <c r="F42" s="643"/>
      <c r="G42" s="112"/>
    </row>
    <row r="43" spans="1:8" s="25" customFormat="1" ht="15.75">
      <c r="A43" s="644" t="s">
        <v>596</v>
      </c>
      <c r="B43" s="289"/>
      <c r="C43" s="59"/>
      <c r="E43" s="642"/>
      <c r="F43" s="643"/>
      <c r="G43" s="112"/>
    </row>
    <row r="44" spans="1:8" s="25" customFormat="1" ht="15.75">
      <c r="A44" s="288" t="s">
        <v>597</v>
      </c>
      <c r="B44" s="289"/>
      <c r="C44" s="59"/>
      <c r="E44" s="642"/>
      <c r="F44" s="643"/>
      <c r="G44" s="112"/>
    </row>
    <row r="45" spans="1:8" s="25" customFormat="1" ht="15.75">
      <c r="A45" s="288" t="s">
        <v>792</v>
      </c>
      <c r="B45" s="289"/>
      <c r="C45" s="59"/>
      <c r="E45" s="642"/>
      <c r="F45" s="643"/>
      <c r="G45" s="112"/>
    </row>
    <row r="46" spans="1:8" s="25" customFormat="1" ht="15.75">
      <c r="A46" s="288" t="s">
        <v>793</v>
      </c>
      <c r="B46" s="289"/>
      <c r="C46" s="59"/>
      <c r="E46" s="642"/>
      <c r="F46" s="643"/>
      <c r="G46" s="112"/>
    </row>
    <row r="47" spans="1:8" s="25" customFormat="1" ht="15.75">
      <c r="A47" s="288" t="s">
        <v>794</v>
      </c>
      <c r="B47" s="289"/>
      <c r="C47" s="59"/>
      <c r="E47" s="642"/>
      <c r="F47" s="643"/>
      <c r="G47" s="112"/>
    </row>
    <row r="48" spans="1:8" s="25" customFormat="1" ht="15.75">
      <c r="A48" s="59"/>
      <c r="B48" s="59" t="s">
        <v>20</v>
      </c>
      <c r="C48" s="59"/>
      <c r="D48" s="59"/>
      <c r="E48" s="59"/>
      <c r="F48" s="59"/>
      <c r="G48" s="59"/>
    </row>
    <row r="49" spans="1:7" s="25" customFormat="1" ht="15.75">
      <c r="A49" s="645"/>
      <c r="B49" s="645"/>
      <c r="C49" s="645"/>
      <c r="D49" s="645"/>
      <c r="E49" s="645"/>
      <c r="F49" s="645"/>
      <c r="G49" s="645"/>
    </row>
    <row r="50" spans="1:7" s="25" customFormat="1" ht="15.75">
      <c r="A50" s="645"/>
      <c r="B50" s="645"/>
      <c r="C50" s="645"/>
      <c r="D50" s="645"/>
      <c r="E50" s="645"/>
      <c r="F50" s="645"/>
      <c r="G50" s="645"/>
    </row>
    <row r="51" spans="1:7" s="25" customFormat="1" ht="15.75">
      <c r="A51" s="645"/>
      <c r="B51" s="645"/>
      <c r="C51" s="645"/>
      <c r="D51" s="645"/>
      <c r="E51" s="645"/>
      <c r="F51" s="645"/>
      <c r="G51" s="645"/>
    </row>
    <row r="52" spans="1:7" s="25" customFormat="1" ht="15.75">
      <c r="A52" s="645"/>
      <c r="B52" s="645"/>
      <c r="C52" s="645"/>
      <c r="D52" s="645"/>
      <c r="E52" s="645"/>
      <c r="F52" s="645"/>
      <c r="G52" s="645"/>
    </row>
    <row r="53" spans="1:7" s="25" customFormat="1" ht="15.75">
      <c r="A53" s="645"/>
      <c r="B53" s="645"/>
      <c r="C53" s="645"/>
      <c r="D53" s="645"/>
      <c r="E53" s="645"/>
      <c r="F53" s="645"/>
      <c r="G53" s="645"/>
    </row>
    <row r="54" spans="1:7" s="25" customFormat="1" ht="15.75">
      <c r="A54" s="645"/>
      <c r="B54" s="645"/>
      <c r="C54" s="645"/>
      <c r="D54" s="645"/>
      <c r="E54" s="645"/>
      <c r="F54" s="645"/>
      <c r="G54" s="645"/>
    </row>
    <row r="55" spans="1:7" s="25" customFormat="1" ht="15.75">
      <c r="A55" s="645"/>
      <c r="B55" s="645"/>
      <c r="C55" s="645"/>
      <c r="D55" s="645"/>
      <c r="E55" s="645"/>
      <c r="F55" s="645"/>
      <c r="G55" s="645"/>
    </row>
    <row r="56" spans="1:7" s="25" customFormat="1" ht="15.75">
      <c r="A56" s="645"/>
      <c r="B56" s="645"/>
      <c r="C56" s="645"/>
      <c r="D56" s="645"/>
      <c r="E56" s="645"/>
      <c r="F56" s="645"/>
      <c r="G56" s="645"/>
    </row>
    <row r="57" spans="1:7" s="25" customFormat="1" ht="15.75">
      <c r="A57" s="645"/>
      <c r="B57" s="645"/>
      <c r="C57" s="645"/>
      <c r="D57" s="645"/>
      <c r="E57" s="645"/>
      <c r="F57" s="645"/>
      <c r="G57" s="645"/>
    </row>
    <row r="58" spans="1:7" s="25" customFormat="1" ht="15.75">
      <c r="A58" s="645"/>
      <c r="B58" s="645"/>
      <c r="C58" s="645"/>
      <c r="D58" s="645"/>
      <c r="E58" s="645"/>
      <c r="F58" s="645"/>
      <c r="G58" s="645"/>
    </row>
    <row r="59" spans="1:7" s="25" customFormat="1" ht="15.75">
      <c r="A59" s="645"/>
      <c r="B59" s="645"/>
      <c r="C59" s="645"/>
      <c r="D59" s="645"/>
      <c r="E59" s="645"/>
      <c r="F59" s="645"/>
      <c r="G59" s="645"/>
    </row>
    <row r="60" spans="1:7" s="25" customFormat="1" ht="15.75">
      <c r="A60" s="645"/>
      <c r="B60" s="645"/>
      <c r="C60" s="645"/>
      <c r="D60" s="645"/>
      <c r="E60" s="645"/>
      <c r="F60" s="645"/>
      <c r="G60" s="645"/>
    </row>
    <row r="61" spans="1:7" s="25" customFormat="1" ht="15.75">
      <c r="A61" s="645"/>
      <c r="B61" s="645"/>
      <c r="C61" s="645"/>
      <c r="D61" s="645"/>
      <c r="E61" s="645"/>
      <c r="F61" s="645"/>
      <c r="G61" s="645"/>
    </row>
    <row r="62" spans="1:7" s="25" customFormat="1" ht="15.75">
      <c r="A62" s="645"/>
      <c r="B62" s="645"/>
      <c r="C62" s="645"/>
      <c r="D62" s="645"/>
      <c r="E62" s="645"/>
      <c r="F62" s="645"/>
      <c r="G62" s="645"/>
    </row>
    <row r="63" spans="1:7" s="25" customFormat="1" ht="15.75">
      <c r="A63" s="59"/>
      <c r="B63" s="646" t="s">
        <v>2418</v>
      </c>
      <c r="C63" s="646"/>
      <c r="D63" s="646"/>
      <c r="E63" s="646"/>
      <c r="F63" s="646"/>
      <c r="G63" s="646"/>
    </row>
    <row r="64" spans="1:7" s="25" customFormat="1" ht="15.75">
      <c r="A64" s="59"/>
      <c r="B64" s="391"/>
      <c r="C64" s="391"/>
      <c r="D64" s="391"/>
      <c r="E64" s="391"/>
      <c r="F64" s="391"/>
      <c r="G64" s="391"/>
    </row>
    <row r="65" spans="1:8" s="25" customFormat="1" ht="15.75">
      <c r="A65" s="59"/>
      <c r="B65" s="646" t="s">
        <v>22</v>
      </c>
      <c r="C65" s="646"/>
      <c r="D65" s="646"/>
      <c r="E65" s="646"/>
      <c r="F65" s="646"/>
      <c r="G65" s="646"/>
    </row>
    <row r="66" spans="1:8" s="25" customFormat="1" ht="15.75">
      <c r="A66" s="59"/>
      <c r="B66" s="391"/>
      <c r="C66" s="391"/>
      <c r="D66" s="391"/>
      <c r="E66" s="391"/>
      <c r="F66" s="391"/>
      <c r="G66" s="391"/>
    </row>
    <row r="67" spans="1:8" s="25" customFormat="1" ht="15.75">
      <c r="A67" s="59"/>
      <c r="B67" s="646" t="s">
        <v>23</v>
      </c>
      <c r="C67" s="646"/>
      <c r="D67" s="646"/>
      <c r="E67" s="646"/>
      <c r="F67" s="646"/>
      <c r="G67" s="646"/>
    </row>
    <row r="68" spans="1:8" s="25" customFormat="1" ht="15.75">
      <c r="A68" s="59"/>
      <c r="B68" s="646" t="s">
        <v>24</v>
      </c>
      <c r="C68" s="646"/>
      <c r="D68" s="646"/>
      <c r="E68" s="646"/>
      <c r="F68" s="646"/>
      <c r="G68" s="646"/>
    </row>
    <row r="69" spans="1:8" s="25" customFormat="1" ht="15.75">
      <c r="A69" s="289"/>
      <c r="B69" s="289"/>
      <c r="E69" s="332"/>
    </row>
    <row r="70" spans="1:8" s="1041" customFormat="1" ht="15.75">
      <c r="B70" s="1042"/>
      <c r="C70" s="1043"/>
      <c r="D70" s="1044"/>
      <c r="E70" s="25"/>
      <c r="F70" s="1045"/>
      <c r="H70" s="1043"/>
    </row>
    <row r="71" spans="1:8" s="1041" customFormat="1" ht="15.75">
      <c r="B71" s="1042"/>
      <c r="C71" s="1043"/>
      <c r="D71" s="1044"/>
      <c r="E71" s="25"/>
      <c r="F71" s="1045"/>
      <c r="H71" s="1043"/>
    </row>
  </sheetData>
  <mergeCells count="15">
    <mergeCell ref="A34:F34"/>
    <mergeCell ref="A21:A24"/>
    <mergeCell ref="B21:B24"/>
    <mergeCell ref="C21:C24"/>
    <mergeCell ref="A25:A32"/>
    <mergeCell ref="B25:B32"/>
    <mergeCell ref="C25:C32"/>
    <mergeCell ref="A33:F33"/>
    <mergeCell ref="A2:H2"/>
    <mergeCell ref="A4:A9"/>
    <mergeCell ref="B4:B9"/>
    <mergeCell ref="C4:C9"/>
    <mergeCell ref="A10:A20"/>
    <mergeCell ref="B10:B20"/>
    <mergeCell ref="C10:C20"/>
  </mergeCells>
  <phoneticPr fontId="4" type="noConversion"/>
  <pageMargins left="0.7" right="0.7" top="0.75" bottom="0.75" header="0.3" footer="0.3"/>
  <pageSetup paperSize="9" scale="60" orientation="portrait" r:id="rId1"/>
</worksheet>
</file>

<file path=xl/worksheets/sheet36.xml><?xml version="1.0" encoding="utf-8"?>
<worksheet xmlns="http://schemas.openxmlformats.org/spreadsheetml/2006/main" xmlns:r="http://schemas.openxmlformats.org/officeDocument/2006/relationships">
  <dimension ref="A1:L71"/>
  <sheetViews>
    <sheetView workbookViewId="0">
      <selection activeCell="E14" sqref="E14"/>
    </sheetView>
  </sheetViews>
  <sheetFormatPr defaultRowHeight="16.5"/>
  <cols>
    <col min="1" max="1" width="9.140625" style="407"/>
    <col min="2" max="2" width="35.28515625" style="407" customWidth="1"/>
    <col min="3" max="3" width="11.85546875" style="1006" customWidth="1"/>
    <col min="4" max="4" width="9.140625" style="407"/>
    <col min="5" max="5" width="40.42578125" style="1046" customWidth="1"/>
    <col min="6" max="6" width="13.5703125" style="407" customWidth="1"/>
    <col min="7" max="7" width="9.140625" style="407"/>
    <col min="8" max="8" width="13.5703125" style="407" customWidth="1"/>
    <col min="9" max="16384" width="9.140625" style="407"/>
  </cols>
  <sheetData>
    <row r="1" spans="1:8" ht="18.75">
      <c r="D1" s="408"/>
      <c r="E1" s="370"/>
      <c r="F1" s="408"/>
      <c r="G1" s="1006"/>
      <c r="H1" s="377"/>
    </row>
    <row r="2" spans="1:8" ht="42" customHeight="1">
      <c r="A2" s="1161" t="s">
        <v>2052</v>
      </c>
      <c r="B2" s="1162"/>
      <c r="C2" s="1162"/>
      <c r="D2" s="1162"/>
      <c r="E2" s="1162"/>
      <c r="F2" s="1162"/>
      <c r="G2" s="1162"/>
      <c r="H2" s="1163"/>
    </row>
    <row r="3" spans="1:8" ht="48" customHeight="1">
      <c r="A3" s="631" t="s">
        <v>1443</v>
      </c>
      <c r="B3" s="631" t="s">
        <v>1444</v>
      </c>
      <c r="C3" s="631" t="s">
        <v>1445</v>
      </c>
      <c r="D3" s="1037"/>
      <c r="E3" s="631" t="s">
        <v>452</v>
      </c>
      <c r="F3" s="633" t="s">
        <v>1445</v>
      </c>
      <c r="G3" s="630" t="s">
        <v>399</v>
      </c>
      <c r="H3" s="633" t="s">
        <v>1473</v>
      </c>
    </row>
    <row r="4" spans="1:8" ht="47.25" customHeight="1">
      <c r="A4" s="1164">
        <v>1</v>
      </c>
      <c r="B4" s="1165" t="s">
        <v>2219</v>
      </c>
      <c r="C4" s="1343">
        <v>0.25</v>
      </c>
      <c r="D4" s="359">
        <v>1</v>
      </c>
      <c r="E4" s="261" t="s">
        <v>2220</v>
      </c>
      <c r="F4" s="1038">
        <f>3.5/15</f>
        <v>0.23333333333333334</v>
      </c>
      <c r="G4" s="359"/>
      <c r="H4" s="1038">
        <f>G4*F4</f>
        <v>0</v>
      </c>
    </row>
    <row r="5" spans="1:8" ht="51" customHeight="1">
      <c r="A5" s="1164"/>
      <c r="B5" s="1165"/>
      <c r="C5" s="1343"/>
      <c r="D5" s="359">
        <v>2</v>
      </c>
      <c r="E5" s="1033" t="s">
        <v>2053</v>
      </c>
      <c r="F5" s="1038">
        <f>5/15</f>
        <v>0.33333333333333331</v>
      </c>
      <c r="G5" s="359"/>
      <c r="H5" s="1038">
        <f>G5*F5</f>
        <v>0</v>
      </c>
    </row>
    <row r="6" spans="1:8" ht="100.5" customHeight="1">
      <c r="A6" s="1164"/>
      <c r="B6" s="1165"/>
      <c r="C6" s="1343"/>
      <c r="D6" s="359">
        <v>3</v>
      </c>
      <c r="E6" s="1034" t="s">
        <v>2054</v>
      </c>
      <c r="F6" s="1038">
        <f>3.5/15</f>
        <v>0.23333333333333334</v>
      </c>
      <c r="G6" s="359"/>
      <c r="H6" s="1038">
        <f>G6*F6</f>
        <v>0</v>
      </c>
    </row>
    <row r="7" spans="1:8" ht="24.75" customHeight="1">
      <c r="A7" s="1164"/>
      <c r="B7" s="1165"/>
      <c r="C7" s="1343"/>
      <c r="D7" s="359">
        <v>4</v>
      </c>
      <c r="E7" s="261" t="s">
        <v>2223</v>
      </c>
      <c r="F7" s="1038">
        <f>2/15</f>
        <v>0.13333333333333333</v>
      </c>
      <c r="G7" s="359"/>
      <c r="H7" s="1038">
        <f>G7*F7</f>
        <v>0</v>
      </c>
    </row>
    <row r="8" spans="1:8" ht="41.25" customHeight="1">
      <c r="A8" s="1164"/>
      <c r="B8" s="1165"/>
      <c r="C8" s="1343"/>
      <c r="D8" s="359">
        <v>5</v>
      </c>
      <c r="E8" s="266" t="s">
        <v>2224</v>
      </c>
      <c r="F8" s="1038">
        <f>1/15</f>
        <v>6.6666666666666666E-2</v>
      </c>
      <c r="G8" s="359"/>
      <c r="H8" s="1038">
        <f>G8*F8</f>
        <v>0</v>
      </c>
    </row>
    <row r="9" spans="1:8" ht="27" customHeight="1">
      <c r="A9" s="1164"/>
      <c r="B9" s="1165"/>
      <c r="C9" s="1343"/>
      <c r="D9" s="634">
        <f>SUM(D4:D8)</f>
        <v>15</v>
      </c>
      <c r="E9" s="1032"/>
      <c r="F9" s="360">
        <f>SUM(F4:F8)</f>
        <v>1</v>
      </c>
      <c r="G9" s="634"/>
      <c r="H9" s="360">
        <f>SUM(H4:H8)*C4</f>
        <v>0</v>
      </c>
    </row>
    <row r="10" spans="1:8" ht="38.25" customHeight="1">
      <c r="A10" s="1164">
        <v>2</v>
      </c>
      <c r="B10" s="1165" t="s">
        <v>2225</v>
      </c>
      <c r="C10" s="1343">
        <v>0.25</v>
      </c>
      <c r="D10" s="359">
        <v>1</v>
      </c>
      <c r="E10" s="1035" t="s">
        <v>2055</v>
      </c>
      <c r="F10" s="1038">
        <f>6.5/55</f>
        <v>0.11818181818181818</v>
      </c>
      <c r="G10" s="359"/>
      <c r="H10" s="1038">
        <f>G10*F10</f>
        <v>0</v>
      </c>
    </row>
    <row r="11" spans="1:8" ht="47.25">
      <c r="A11" s="1164"/>
      <c r="B11" s="1165"/>
      <c r="C11" s="1343"/>
      <c r="D11" s="359">
        <v>2</v>
      </c>
      <c r="E11" s="266" t="s">
        <v>2056</v>
      </c>
      <c r="F11" s="1038">
        <f>4/55</f>
        <v>7.2727272727272724E-2</v>
      </c>
      <c r="G11" s="359"/>
      <c r="H11" s="1038">
        <f>G11*F11</f>
        <v>0</v>
      </c>
    </row>
    <row r="12" spans="1:8" ht="71.25" customHeight="1">
      <c r="A12" s="1164"/>
      <c r="B12" s="1165"/>
      <c r="C12" s="1343"/>
      <c r="D12" s="824">
        <v>3</v>
      </c>
      <c r="E12" s="1034" t="s">
        <v>2057</v>
      </c>
      <c r="F12" s="1038">
        <f>4/55</f>
        <v>7.2727272727272724E-2</v>
      </c>
      <c r="G12" s="824"/>
      <c r="H12" s="1038">
        <f>G12*F12</f>
        <v>0</v>
      </c>
    </row>
    <row r="13" spans="1:8" ht="48" customHeight="1">
      <c r="A13" s="1164"/>
      <c r="B13" s="1165"/>
      <c r="C13" s="1343"/>
      <c r="D13" s="824">
        <v>4</v>
      </c>
      <c r="E13" s="266" t="s">
        <v>2058</v>
      </c>
      <c r="F13" s="1038">
        <f>4/55</f>
        <v>7.2727272727272724E-2</v>
      </c>
      <c r="G13" s="824"/>
      <c r="H13" s="1038">
        <f t="shared" ref="H13:H19" si="0">G13*F13</f>
        <v>0</v>
      </c>
    </row>
    <row r="14" spans="1:8" ht="64.5" customHeight="1">
      <c r="A14" s="1164"/>
      <c r="B14" s="1165"/>
      <c r="C14" s="1343"/>
      <c r="D14" s="824">
        <v>5</v>
      </c>
      <c r="E14" s="261" t="s">
        <v>2059</v>
      </c>
      <c r="F14" s="1038">
        <f>6.5/55</f>
        <v>0.11818181818181818</v>
      </c>
      <c r="G14" s="824"/>
      <c r="H14" s="1038">
        <f t="shared" si="0"/>
        <v>0</v>
      </c>
    </row>
    <row r="15" spans="1:8" ht="52.5" customHeight="1">
      <c r="A15" s="1164"/>
      <c r="B15" s="1165"/>
      <c r="C15" s="1343"/>
      <c r="D15" s="824">
        <v>6</v>
      </c>
      <c r="E15" s="932" t="s">
        <v>2060</v>
      </c>
      <c r="F15" s="1038">
        <f>9/55</f>
        <v>0.16363636363636364</v>
      </c>
      <c r="G15" s="824"/>
      <c r="H15" s="1038">
        <f t="shared" si="0"/>
        <v>0</v>
      </c>
    </row>
    <row r="16" spans="1:8" ht="54.75" customHeight="1">
      <c r="A16" s="1164"/>
      <c r="B16" s="1165"/>
      <c r="C16" s="1343"/>
      <c r="D16" s="824">
        <v>7</v>
      </c>
      <c r="E16" s="283" t="s">
        <v>2061</v>
      </c>
      <c r="F16" s="1038">
        <f>2/55</f>
        <v>3.6363636363636362E-2</v>
      </c>
      <c r="G16" s="824"/>
      <c r="H16" s="1038">
        <f t="shared" si="0"/>
        <v>0</v>
      </c>
    </row>
    <row r="17" spans="1:12" ht="47.25" customHeight="1">
      <c r="A17" s="1164"/>
      <c r="B17" s="1165"/>
      <c r="C17" s="1343"/>
      <c r="D17" s="824">
        <v>8</v>
      </c>
      <c r="E17" s="932" t="s">
        <v>2062</v>
      </c>
      <c r="F17" s="1038">
        <f>9/55</f>
        <v>0.16363636363636364</v>
      </c>
      <c r="G17" s="824"/>
      <c r="H17" s="1038">
        <f t="shared" si="0"/>
        <v>0</v>
      </c>
    </row>
    <row r="18" spans="1:12" ht="38.25" customHeight="1">
      <c r="A18" s="1164"/>
      <c r="B18" s="1165"/>
      <c r="C18" s="1343"/>
      <c r="D18" s="824">
        <v>9</v>
      </c>
      <c r="E18" s="1030" t="s">
        <v>2063</v>
      </c>
      <c r="F18" s="1038">
        <f>9/55</f>
        <v>0.16363636363636364</v>
      </c>
      <c r="G18" s="824"/>
      <c r="H18" s="1038">
        <f t="shared" si="0"/>
        <v>0</v>
      </c>
    </row>
    <row r="19" spans="1:12" ht="54.75" customHeight="1">
      <c r="A19" s="1164"/>
      <c r="B19" s="1165"/>
      <c r="C19" s="1343"/>
      <c r="D19" s="824">
        <v>10</v>
      </c>
      <c r="E19" s="266" t="s">
        <v>2064</v>
      </c>
      <c r="F19" s="1038">
        <f>1/55</f>
        <v>1.8181818181818181E-2</v>
      </c>
      <c r="G19" s="824"/>
      <c r="H19" s="1038">
        <f t="shared" si="0"/>
        <v>0</v>
      </c>
      <c r="L19" s="401"/>
    </row>
    <row r="20" spans="1:12" ht="18.75">
      <c r="A20" s="1164"/>
      <c r="B20" s="1165"/>
      <c r="C20" s="1343"/>
      <c r="D20" s="634">
        <f>SUM(D10:D19)</f>
        <v>55</v>
      </c>
      <c r="E20" s="1032"/>
      <c r="F20" s="360">
        <f>SUM(F10:F19)</f>
        <v>0.99999999999999989</v>
      </c>
      <c r="G20" s="634"/>
      <c r="H20" s="360">
        <f>SUM(H10:H19)*C10</f>
        <v>0</v>
      </c>
    </row>
    <row r="21" spans="1:12" ht="87.75" customHeight="1">
      <c r="A21" s="1164">
        <v>3</v>
      </c>
      <c r="B21" s="1165" t="s">
        <v>2236</v>
      </c>
      <c r="C21" s="1343">
        <v>0.25</v>
      </c>
      <c r="D21" s="359">
        <v>1</v>
      </c>
      <c r="E21" s="261" t="s">
        <v>2065</v>
      </c>
      <c r="F21" s="360">
        <f>1.5/6</f>
        <v>0.25</v>
      </c>
      <c r="G21" s="359"/>
      <c r="H21" s="360">
        <f>G21*F21</f>
        <v>0</v>
      </c>
    </row>
    <row r="22" spans="1:12" ht="49.5" customHeight="1">
      <c r="A22" s="1164"/>
      <c r="B22" s="1165"/>
      <c r="C22" s="1343"/>
      <c r="D22" s="359">
        <v>2</v>
      </c>
      <c r="E22" s="266" t="s">
        <v>2066</v>
      </c>
      <c r="F22" s="360">
        <f>3/6</f>
        <v>0.5</v>
      </c>
      <c r="G22" s="359"/>
      <c r="H22" s="360">
        <f>G22*F22</f>
        <v>0</v>
      </c>
    </row>
    <row r="23" spans="1:12" ht="48" customHeight="1">
      <c r="A23" s="1164"/>
      <c r="B23" s="1165"/>
      <c r="C23" s="1343"/>
      <c r="D23" s="359">
        <v>3</v>
      </c>
      <c r="E23" s="261" t="s">
        <v>2067</v>
      </c>
      <c r="F23" s="360">
        <f>1.5/6</f>
        <v>0.25</v>
      </c>
      <c r="G23" s="359"/>
      <c r="H23" s="360">
        <f>G23*F23</f>
        <v>0</v>
      </c>
    </row>
    <row r="24" spans="1:12" ht="18.75">
      <c r="A24" s="1164"/>
      <c r="B24" s="1165"/>
      <c r="C24" s="1343"/>
      <c r="D24" s="634">
        <f>SUM(D21:D23)</f>
        <v>6</v>
      </c>
      <c r="E24" s="1036"/>
      <c r="F24" s="360">
        <f>SUM(F21:F23)</f>
        <v>1</v>
      </c>
      <c r="G24" s="634"/>
      <c r="H24" s="360">
        <f>SUM(H21:H23)*C21</f>
        <v>0</v>
      </c>
    </row>
    <row r="25" spans="1:12" ht="39" customHeight="1">
      <c r="A25" s="1164">
        <v>4</v>
      </c>
      <c r="B25" s="1165" t="s">
        <v>2240</v>
      </c>
      <c r="C25" s="1343">
        <v>0.25</v>
      </c>
      <c r="D25" s="359">
        <v>1</v>
      </c>
      <c r="E25" s="283" t="s">
        <v>2068</v>
      </c>
      <c r="F25" s="1038">
        <f>3.5/28</f>
        <v>0.125</v>
      </c>
      <c r="G25" s="359"/>
      <c r="H25" s="1038">
        <f>G25*F25</f>
        <v>0</v>
      </c>
    </row>
    <row r="26" spans="1:12" ht="57.75" customHeight="1">
      <c r="A26" s="1164"/>
      <c r="B26" s="1165"/>
      <c r="C26" s="1343"/>
      <c r="D26" s="359">
        <v>2</v>
      </c>
      <c r="E26" s="266" t="s">
        <v>2069</v>
      </c>
      <c r="F26" s="1038">
        <f>3.5/28</f>
        <v>0.125</v>
      </c>
      <c r="G26" s="359"/>
      <c r="H26" s="1038">
        <f t="shared" ref="H26:H31" si="1">G26*F26</f>
        <v>0</v>
      </c>
    </row>
    <row r="27" spans="1:12" ht="52.5" customHeight="1">
      <c r="A27" s="1164"/>
      <c r="B27" s="1165"/>
      <c r="C27" s="1343"/>
      <c r="D27" s="359">
        <v>3</v>
      </c>
      <c r="E27" s="261" t="s">
        <v>2070</v>
      </c>
      <c r="F27" s="1038">
        <f>3.5/28</f>
        <v>0.125</v>
      </c>
      <c r="G27" s="359"/>
      <c r="H27" s="1038">
        <f t="shared" si="1"/>
        <v>0</v>
      </c>
    </row>
    <row r="28" spans="1:12" ht="54.75" customHeight="1">
      <c r="A28" s="1164"/>
      <c r="B28" s="1165"/>
      <c r="C28" s="1343"/>
      <c r="D28" s="359">
        <v>4</v>
      </c>
      <c r="E28" s="266" t="s">
        <v>2071</v>
      </c>
      <c r="F28" s="1038">
        <f>7/28</f>
        <v>0.25</v>
      </c>
      <c r="G28" s="359"/>
      <c r="H28" s="1038">
        <f t="shared" si="1"/>
        <v>0</v>
      </c>
    </row>
    <row r="29" spans="1:12" ht="36.75" customHeight="1">
      <c r="A29" s="1164"/>
      <c r="B29" s="1165"/>
      <c r="C29" s="1343"/>
      <c r="D29" s="359">
        <v>5</v>
      </c>
      <c r="E29" s="109" t="s">
        <v>2072</v>
      </c>
      <c r="F29" s="1038">
        <f>3.5/28</f>
        <v>0.125</v>
      </c>
      <c r="G29" s="359"/>
      <c r="H29" s="1038">
        <f t="shared" si="1"/>
        <v>0</v>
      </c>
    </row>
    <row r="30" spans="1:12" ht="65.25" customHeight="1">
      <c r="A30" s="1164"/>
      <c r="B30" s="1165"/>
      <c r="C30" s="1343"/>
      <c r="D30" s="359">
        <v>6</v>
      </c>
      <c r="E30" s="266" t="s">
        <v>2073</v>
      </c>
      <c r="F30" s="1038">
        <f>3.5/28</f>
        <v>0.125</v>
      </c>
      <c r="G30" s="359"/>
      <c r="H30" s="1038">
        <f t="shared" si="1"/>
        <v>0</v>
      </c>
    </row>
    <row r="31" spans="1:12" ht="55.5" customHeight="1">
      <c r="A31" s="1164"/>
      <c r="B31" s="1165"/>
      <c r="C31" s="1343"/>
      <c r="D31" s="359">
        <v>7</v>
      </c>
      <c r="E31" s="261" t="s">
        <v>2074</v>
      </c>
      <c r="F31" s="1038">
        <f>3.5/28</f>
        <v>0.125</v>
      </c>
      <c r="G31" s="359"/>
      <c r="H31" s="1038">
        <f t="shared" si="1"/>
        <v>0</v>
      </c>
    </row>
    <row r="32" spans="1:12" ht="18.75">
      <c r="A32" s="1164"/>
      <c r="B32" s="1165"/>
      <c r="C32" s="1343"/>
      <c r="D32" s="634">
        <f>SUM(D25:D31)</f>
        <v>28</v>
      </c>
      <c r="E32" s="1032"/>
      <c r="F32" s="1038">
        <f>SUM(F25:F31)</f>
        <v>1</v>
      </c>
      <c r="G32" s="634"/>
      <c r="H32" s="1038">
        <f>SUM(H25:H31)*C25</f>
        <v>0</v>
      </c>
    </row>
    <row r="33" spans="1:8" ht="18.75">
      <c r="A33" s="1344" t="s">
        <v>443</v>
      </c>
      <c r="B33" s="1344"/>
      <c r="C33" s="1344"/>
      <c r="D33" s="1344"/>
      <c r="E33" s="1344"/>
      <c r="F33" s="1344"/>
      <c r="G33" s="1039"/>
      <c r="H33" s="1040">
        <f>H9+H20+H24+H32</f>
        <v>0</v>
      </c>
    </row>
    <row r="34" spans="1:8" ht="18.75">
      <c r="A34" s="1344" t="s">
        <v>444</v>
      </c>
      <c r="B34" s="1344"/>
      <c r="C34" s="1344"/>
      <c r="D34" s="1344"/>
      <c r="E34" s="1344"/>
      <c r="F34" s="1344"/>
      <c r="G34" s="1039"/>
      <c r="H34" s="1040" t="str">
        <f>IF(H33&lt;=0.65,"низький",IF(H33&lt;=0.75,"середній",IF(H33&lt;=0.95,"достатній","високий")))</f>
        <v>низький</v>
      </c>
    </row>
    <row r="35" spans="1:8" s="25" customFormat="1" ht="15.75">
      <c r="A35" s="288" t="s">
        <v>182</v>
      </c>
      <c r="B35" s="289"/>
      <c r="C35" s="59"/>
      <c r="E35" s="642"/>
      <c r="F35" s="643"/>
      <c r="G35" s="112"/>
    </row>
    <row r="36" spans="1:8" s="25" customFormat="1" ht="17.25">
      <c r="A36" s="288" t="s">
        <v>589</v>
      </c>
      <c r="B36" s="289"/>
      <c r="C36" s="59"/>
      <c r="E36" s="642"/>
      <c r="F36" s="643"/>
      <c r="G36" s="112"/>
    </row>
    <row r="37" spans="1:8" s="25" customFormat="1" ht="17.25">
      <c r="A37" s="288" t="s">
        <v>590</v>
      </c>
      <c r="B37" s="289"/>
      <c r="C37" s="59"/>
      <c r="E37" s="642"/>
      <c r="F37" s="643"/>
      <c r="G37" s="112"/>
    </row>
    <row r="38" spans="1:8" s="25" customFormat="1" ht="17.25">
      <c r="A38" s="288" t="s">
        <v>591</v>
      </c>
      <c r="B38" s="289"/>
      <c r="C38" s="59"/>
      <c r="E38" s="642"/>
      <c r="F38" s="643"/>
      <c r="G38" s="112"/>
    </row>
    <row r="39" spans="1:8" s="25" customFormat="1" ht="17.25">
      <c r="A39" s="288" t="s">
        <v>592</v>
      </c>
      <c r="B39" s="289"/>
      <c r="C39" s="59"/>
      <c r="E39" s="642"/>
      <c r="F39" s="643"/>
      <c r="G39" s="112"/>
    </row>
    <row r="40" spans="1:8" s="25" customFormat="1" ht="17.25">
      <c r="A40" s="288" t="s">
        <v>593</v>
      </c>
      <c r="B40" s="289"/>
      <c r="C40" s="59"/>
      <c r="E40" s="642"/>
      <c r="F40" s="643"/>
      <c r="G40" s="112"/>
    </row>
    <row r="41" spans="1:8" s="25" customFormat="1" ht="17.25">
      <c r="A41" s="288" t="s">
        <v>594</v>
      </c>
      <c r="B41" s="289"/>
      <c r="C41" s="59"/>
      <c r="E41" s="642"/>
      <c r="F41" s="643"/>
      <c r="G41" s="112"/>
    </row>
    <row r="42" spans="1:8" s="25" customFormat="1" ht="17.25">
      <c r="A42" s="288" t="s">
        <v>595</v>
      </c>
      <c r="B42" s="289"/>
      <c r="C42" s="59"/>
      <c r="E42" s="642"/>
      <c r="F42" s="643"/>
      <c r="G42" s="112"/>
    </row>
    <row r="43" spans="1:8" s="25" customFormat="1" ht="15.75">
      <c r="A43" s="644" t="s">
        <v>596</v>
      </c>
      <c r="B43" s="289"/>
      <c r="C43" s="59"/>
      <c r="E43" s="642"/>
      <c r="F43" s="643"/>
      <c r="G43" s="112"/>
    </row>
    <row r="44" spans="1:8" s="25" customFormat="1" ht="15.75">
      <c r="A44" s="288" t="s">
        <v>597</v>
      </c>
      <c r="B44" s="289"/>
      <c r="C44" s="59"/>
      <c r="E44" s="642"/>
      <c r="F44" s="643"/>
      <c r="G44" s="112"/>
    </row>
    <row r="45" spans="1:8" s="25" customFormat="1" ht="15.75">
      <c r="A45" s="288" t="s">
        <v>792</v>
      </c>
      <c r="B45" s="289"/>
      <c r="C45" s="59"/>
      <c r="E45" s="642"/>
      <c r="F45" s="643"/>
      <c r="G45" s="112"/>
    </row>
    <row r="46" spans="1:8" s="25" customFormat="1" ht="15.75">
      <c r="A46" s="288" t="s">
        <v>793</v>
      </c>
      <c r="B46" s="289"/>
      <c r="C46" s="59"/>
      <c r="E46" s="642"/>
      <c r="F46" s="643"/>
      <c r="G46" s="112"/>
    </row>
    <row r="47" spans="1:8" s="25" customFormat="1" ht="15.75">
      <c r="A47" s="288" t="s">
        <v>794</v>
      </c>
      <c r="B47" s="289"/>
      <c r="C47" s="59"/>
      <c r="E47" s="642"/>
      <c r="F47" s="643"/>
      <c r="G47" s="112"/>
    </row>
    <row r="48" spans="1:8" s="25" customFormat="1" ht="15.75">
      <c r="A48" s="59"/>
      <c r="B48" s="59" t="s">
        <v>20</v>
      </c>
      <c r="C48" s="59"/>
      <c r="D48" s="59"/>
      <c r="E48" s="59"/>
      <c r="F48" s="59"/>
      <c r="G48" s="59"/>
    </row>
    <row r="49" spans="1:7" s="25" customFormat="1" ht="15.75">
      <c r="A49" s="645"/>
      <c r="B49" s="645"/>
      <c r="C49" s="645"/>
      <c r="D49" s="645"/>
      <c r="E49" s="645"/>
      <c r="F49" s="645"/>
      <c r="G49" s="645"/>
    </row>
    <row r="50" spans="1:7" s="25" customFormat="1" ht="15.75">
      <c r="A50" s="645"/>
      <c r="B50" s="645"/>
      <c r="C50" s="645"/>
      <c r="D50" s="645"/>
      <c r="E50" s="645"/>
      <c r="F50" s="645"/>
      <c r="G50" s="645"/>
    </row>
    <row r="51" spans="1:7" s="25" customFormat="1" ht="15.75">
      <c r="A51" s="645"/>
      <c r="B51" s="645"/>
      <c r="C51" s="645"/>
      <c r="D51" s="645"/>
      <c r="E51" s="645"/>
      <c r="F51" s="645"/>
      <c r="G51" s="645"/>
    </row>
    <row r="52" spans="1:7" s="25" customFormat="1" ht="15.75">
      <c r="A52" s="645"/>
      <c r="B52" s="645"/>
      <c r="C52" s="645"/>
      <c r="D52" s="645"/>
      <c r="E52" s="645"/>
      <c r="F52" s="645"/>
      <c r="G52" s="645"/>
    </row>
    <row r="53" spans="1:7" s="25" customFormat="1" ht="15.75">
      <c r="A53" s="645"/>
      <c r="B53" s="645"/>
      <c r="C53" s="645"/>
      <c r="D53" s="645"/>
      <c r="E53" s="645"/>
      <c r="F53" s="645"/>
      <c r="G53" s="645"/>
    </row>
    <row r="54" spans="1:7" s="25" customFormat="1" ht="15.75">
      <c r="A54" s="645"/>
      <c r="B54" s="645"/>
      <c r="C54" s="645"/>
      <c r="D54" s="645"/>
      <c r="E54" s="645"/>
      <c r="F54" s="645"/>
      <c r="G54" s="645"/>
    </row>
    <row r="55" spans="1:7" s="25" customFormat="1" ht="15.75">
      <c r="A55" s="645"/>
      <c r="B55" s="645"/>
      <c r="C55" s="645"/>
      <c r="D55" s="645"/>
      <c r="E55" s="645"/>
      <c r="F55" s="645"/>
      <c r="G55" s="645"/>
    </row>
    <row r="56" spans="1:7" s="25" customFormat="1" ht="15.75">
      <c r="A56" s="645"/>
      <c r="B56" s="645"/>
      <c r="C56" s="645"/>
      <c r="D56" s="645"/>
      <c r="E56" s="645"/>
      <c r="F56" s="645"/>
      <c r="G56" s="645"/>
    </row>
    <row r="57" spans="1:7" s="25" customFormat="1" ht="15.75">
      <c r="A57" s="645"/>
      <c r="B57" s="645"/>
      <c r="C57" s="645"/>
      <c r="D57" s="645"/>
      <c r="E57" s="645"/>
      <c r="F57" s="645"/>
      <c r="G57" s="645"/>
    </row>
    <row r="58" spans="1:7" s="25" customFormat="1" ht="15.75">
      <c r="A58" s="645"/>
      <c r="B58" s="645"/>
      <c r="C58" s="645"/>
      <c r="D58" s="645"/>
      <c r="E58" s="645"/>
      <c r="F58" s="645"/>
      <c r="G58" s="645"/>
    </row>
    <row r="59" spans="1:7" s="25" customFormat="1" ht="15.75">
      <c r="A59" s="645"/>
      <c r="B59" s="645"/>
      <c r="C59" s="645"/>
      <c r="D59" s="645"/>
      <c r="E59" s="645"/>
      <c r="F59" s="645"/>
      <c r="G59" s="645"/>
    </row>
    <row r="60" spans="1:7" s="25" customFormat="1" ht="15.75">
      <c r="A60" s="645"/>
      <c r="B60" s="645"/>
      <c r="C60" s="645"/>
      <c r="D60" s="645"/>
      <c r="E60" s="645"/>
      <c r="F60" s="645"/>
      <c r="G60" s="645"/>
    </row>
    <row r="61" spans="1:7" s="25" customFormat="1" ht="15.75">
      <c r="A61" s="645"/>
      <c r="B61" s="645"/>
      <c r="C61" s="645"/>
      <c r="D61" s="645"/>
      <c r="E61" s="645"/>
      <c r="F61" s="645"/>
      <c r="G61" s="645"/>
    </row>
    <row r="62" spans="1:7" s="25" customFormat="1" ht="15.75">
      <c r="A62" s="645"/>
      <c r="B62" s="645"/>
      <c r="C62" s="645"/>
      <c r="D62" s="645"/>
      <c r="E62" s="645"/>
      <c r="F62" s="645"/>
      <c r="G62" s="645"/>
    </row>
    <row r="63" spans="1:7" s="25" customFormat="1" ht="15.75">
      <c r="A63" s="59"/>
      <c r="B63" s="646" t="s">
        <v>2418</v>
      </c>
      <c r="C63" s="646"/>
      <c r="D63" s="646"/>
      <c r="E63" s="646"/>
      <c r="F63" s="646"/>
      <c r="G63" s="646"/>
    </row>
    <row r="64" spans="1:7" s="25" customFormat="1" ht="15.75">
      <c r="A64" s="59"/>
      <c r="B64" s="391"/>
      <c r="C64" s="391"/>
      <c r="D64" s="391"/>
      <c r="E64" s="391"/>
      <c r="F64" s="391"/>
      <c r="G64" s="391"/>
    </row>
    <row r="65" spans="1:8" s="25" customFormat="1" ht="15.75">
      <c r="A65" s="59"/>
      <c r="B65" s="646" t="s">
        <v>22</v>
      </c>
      <c r="C65" s="646"/>
      <c r="D65" s="646"/>
      <c r="E65" s="646"/>
      <c r="F65" s="646"/>
      <c r="G65" s="646"/>
    </row>
    <row r="66" spans="1:8" s="25" customFormat="1" ht="15.75">
      <c r="A66" s="59"/>
      <c r="B66" s="391"/>
      <c r="C66" s="391"/>
      <c r="D66" s="391"/>
      <c r="E66" s="391"/>
      <c r="F66" s="391"/>
      <c r="G66" s="391"/>
    </row>
    <row r="67" spans="1:8" s="25" customFormat="1" ht="15.75">
      <c r="A67" s="59"/>
      <c r="B67" s="646" t="s">
        <v>23</v>
      </c>
      <c r="C67" s="646"/>
      <c r="D67" s="646"/>
      <c r="E67" s="646"/>
      <c r="F67" s="646"/>
      <c r="G67" s="646"/>
    </row>
    <row r="68" spans="1:8" s="25" customFormat="1" ht="15.75">
      <c r="A68" s="59"/>
      <c r="B68" s="646" t="s">
        <v>24</v>
      </c>
      <c r="C68" s="646"/>
      <c r="D68" s="646"/>
      <c r="E68" s="646"/>
      <c r="F68" s="646"/>
      <c r="G68" s="646"/>
    </row>
    <row r="69" spans="1:8" s="25" customFormat="1" ht="15.75">
      <c r="A69" s="289"/>
      <c r="B69" s="289"/>
      <c r="E69" s="332"/>
    </row>
    <row r="70" spans="1:8" s="1041" customFormat="1" ht="15.75">
      <c r="B70" s="1042"/>
      <c r="C70" s="1043"/>
      <c r="D70" s="1044"/>
      <c r="E70" s="25"/>
      <c r="F70" s="1045"/>
      <c r="H70" s="1043"/>
    </row>
    <row r="71" spans="1:8" s="1041" customFormat="1" ht="15.75">
      <c r="B71" s="1042"/>
      <c r="C71" s="1043"/>
      <c r="D71" s="1044"/>
      <c r="E71" s="25"/>
      <c r="F71" s="1045"/>
      <c r="H71" s="1043"/>
    </row>
  </sheetData>
  <mergeCells count="15">
    <mergeCell ref="A34:F34"/>
    <mergeCell ref="A21:A24"/>
    <mergeCell ref="B21:B24"/>
    <mergeCell ref="C21:C24"/>
    <mergeCell ref="A25:A32"/>
    <mergeCell ref="B25:B32"/>
    <mergeCell ref="C25:C32"/>
    <mergeCell ref="A33:F33"/>
    <mergeCell ref="A2:H2"/>
    <mergeCell ref="A4:A9"/>
    <mergeCell ref="B4:B9"/>
    <mergeCell ref="C4:C9"/>
    <mergeCell ref="A10:A20"/>
    <mergeCell ref="B10:B20"/>
    <mergeCell ref="C10:C20"/>
  </mergeCells>
  <phoneticPr fontId="4" type="noConversion"/>
  <pageMargins left="0.7" right="0.7" top="0.75" bottom="0.75" header="0.3" footer="0.3"/>
  <pageSetup paperSize="9" scale="60" orientation="portrait" r:id="rId1"/>
</worksheet>
</file>

<file path=xl/worksheets/sheet37.xml><?xml version="1.0" encoding="utf-8"?>
<worksheet xmlns="http://schemas.openxmlformats.org/spreadsheetml/2006/main" xmlns:r="http://schemas.openxmlformats.org/officeDocument/2006/relationships">
  <dimension ref="A1:L69"/>
  <sheetViews>
    <sheetView workbookViewId="0">
      <selection activeCell="E25" sqref="E25"/>
    </sheetView>
  </sheetViews>
  <sheetFormatPr defaultRowHeight="16.5"/>
  <cols>
    <col min="1" max="1" width="9.140625" style="407"/>
    <col min="2" max="2" width="35.28515625" style="407" customWidth="1"/>
    <col min="3" max="3" width="11.85546875" style="1006" customWidth="1"/>
    <col min="4" max="4" width="9.140625" style="407"/>
    <col min="5" max="5" width="40.42578125" style="1046" customWidth="1"/>
    <col min="6" max="6" width="13.5703125" style="407" customWidth="1"/>
    <col min="7" max="7" width="9.140625" style="407"/>
    <col min="8" max="8" width="13.5703125" style="407" customWidth="1"/>
    <col min="9" max="16384" width="9.140625" style="407"/>
  </cols>
  <sheetData>
    <row r="1" spans="1:8" ht="18.75">
      <c r="D1" s="408"/>
      <c r="E1" s="370"/>
      <c r="F1" s="408"/>
      <c r="G1" s="1006"/>
      <c r="H1" s="377"/>
    </row>
    <row r="2" spans="1:8" ht="42" customHeight="1">
      <c r="A2" s="1161" t="s">
        <v>2377</v>
      </c>
      <c r="B2" s="1162"/>
      <c r="C2" s="1162"/>
      <c r="D2" s="1162"/>
      <c r="E2" s="1162"/>
      <c r="F2" s="1162"/>
      <c r="G2" s="1162"/>
      <c r="H2" s="1163"/>
    </row>
    <row r="3" spans="1:8" ht="48" customHeight="1">
      <c r="A3" s="631" t="s">
        <v>1443</v>
      </c>
      <c r="B3" s="631" t="s">
        <v>1444</v>
      </c>
      <c r="C3" s="631" t="s">
        <v>1445</v>
      </c>
      <c r="D3" s="1037"/>
      <c r="E3" s="631" t="s">
        <v>452</v>
      </c>
      <c r="F3" s="633" t="s">
        <v>1445</v>
      </c>
      <c r="G3" s="630" t="s">
        <v>399</v>
      </c>
      <c r="H3" s="633" t="s">
        <v>1473</v>
      </c>
    </row>
    <row r="4" spans="1:8" ht="34.5" customHeight="1">
      <c r="A4" s="1164">
        <v>1</v>
      </c>
      <c r="B4" s="1165" t="s">
        <v>2219</v>
      </c>
      <c r="C4" s="1343">
        <v>0.25</v>
      </c>
      <c r="D4" s="359">
        <v>1</v>
      </c>
      <c r="E4" s="261" t="s">
        <v>2378</v>
      </c>
      <c r="F4" s="1038">
        <f>3.5/15</f>
        <v>0.23333333333333334</v>
      </c>
      <c r="G4" s="359"/>
      <c r="H4" s="1038">
        <f>G4*F4</f>
        <v>0</v>
      </c>
    </row>
    <row r="5" spans="1:8" ht="51" customHeight="1">
      <c r="A5" s="1164"/>
      <c r="B5" s="1165"/>
      <c r="C5" s="1343"/>
      <c r="D5" s="359">
        <v>2</v>
      </c>
      <c r="E5" s="1033" t="s">
        <v>2221</v>
      </c>
      <c r="F5" s="1038">
        <f>5/15</f>
        <v>0.33333333333333331</v>
      </c>
      <c r="G5" s="359"/>
      <c r="H5" s="1038">
        <f>G5*F5</f>
        <v>0</v>
      </c>
    </row>
    <row r="6" spans="1:8" ht="51.75" customHeight="1">
      <c r="A6" s="1164"/>
      <c r="B6" s="1165"/>
      <c r="C6" s="1343"/>
      <c r="D6" s="359">
        <v>3</v>
      </c>
      <c r="E6" s="1034" t="s">
        <v>2379</v>
      </c>
      <c r="F6" s="1038">
        <f>3.5/15</f>
        <v>0.23333333333333334</v>
      </c>
      <c r="G6" s="359"/>
      <c r="H6" s="1038">
        <f>G6*F6</f>
        <v>0</v>
      </c>
    </row>
    <row r="7" spans="1:8" ht="24.75" customHeight="1">
      <c r="A7" s="1164"/>
      <c r="B7" s="1165"/>
      <c r="C7" s="1343"/>
      <c r="D7" s="359">
        <v>4</v>
      </c>
      <c r="E7" s="261" t="s">
        <v>2223</v>
      </c>
      <c r="F7" s="1038">
        <f>2/15</f>
        <v>0.13333333333333333</v>
      </c>
      <c r="G7" s="359"/>
      <c r="H7" s="1038">
        <f>G7*F7</f>
        <v>0</v>
      </c>
    </row>
    <row r="8" spans="1:8" ht="33.75" customHeight="1">
      <c r="A8" s="1164"/>
      <c r="B8" s="1165"/>
      <c r="C8" s="1343"/>
      <c r="D8" s="359">
        <v>5</v>
      </c>
      <c r="E8" s="266" t="s">
        <v>2224</v>
      </c>
      <c r="F8" s="1038">
        <f>1/15</f>
        <v>6.6666666666666666E-2</v>
      </c>
      <c r="G8" s="359"/>
      <c r="H8" s="1038">
        <f>G8*F8</f>
        <v>0</v>
      </c>
    </row>
    <row r="9" spans="1:8" ht="18.75">
      <c r="A9" s="1164"/>
      <c r="B9" s="1165"/>
      <c r="C9" s="1343"/>
      <c r="D9" s="634">
        <f>SUM(D4:D8)</f>
        <v>15</v>
      </c>
      <c r="E9" s="1032"/>
      <c r="F9" s="360">
        <f>SUM(F4:F8)</f>
        <v>1</v>
      </c>
      <c r="G9" s="634"/>
      <c r="H9" s="360">
        <f>SUM(H4:H8)*C4</f>
        <v>0</v>
      </c>
    </row>
    <row r="10" spans="1:8" ht="48.75" customHeight="1">
      <c r="A10" s="1164">
        <v>2</v>
      </c>
      <c r="B10" s="1165" t="s">
        <v>2225</v>
      </c>
      <c r="C10" s="1343">
        <v>0.25</v>
      </c>
      <c r="D10" s="359">
        <v>1</v>
      </c>
      <c r="E10" s="1035" t="s">
        <v>2380</v>
      </c>
      <c r="F10" s="1038">
        <f>6.5/55</f>
        <v>0.11818181818181818</v>
      </c>
      <c r="G10" s="359"/>
      <c r="H10" s="1038">
        <f>G10*F10</f>
        <v>0</v>
      </c>
    </row>
    <row r="11" spans="1:8" ht="31.5">
      <c r="A11" s="1164"/>
      <c r="B11" s="1165"/>
      <c r="C11" s="1343"/>
      <c r="D11" s="359">
        <v>2</v>
      </c>
      <c r="E11" s="266" t="s">
        <v>2381</v>
      </c>
      <c r="F11" s="1038">
        <f>4/55</f>
        <v>7.2727272727272724E-2</v>
      </c>
      <c r="G11" s="359"/>
      <c r="H11" s="1038">
        <f>G11*F11</f>
        <v>0</v>
      </c>
    </row>
    <row r="12" spans="1:8" ht="32.25" customHeight="1">
      <c r="A12" s="1164"/>
      <c r="B12" s="1165"/>
      <c r="C12" s="1343"/>
      <c r="D12" s="824">
        <v>3</v>
      </c>
      <c r="E12" s="1034" t="s">
        <v>2382</v>
      </c>
      <c r="F12" s="1038">
        <f>4/55</f>
        <v>7.2727272727272724E-2</v>
      </c>
      <c r="G12" s="824"/>
      <c r="H12" s="1038">
        <f>G12*F12</f>
        <v>0</v>
      </c>
    </row>
    <row r="13" spans="1:8" ht="32.25" customHeight="1">
      <c r="A13" s="1164"/>
      <c r="B13" s="1165"/>
      <c r="C13" s="1343"/>
      <c r="D13" s="824">
        <v>4</v>
      </c>
      <c r="E13" s="266" t="s">
        <v>2383</v>
      </c>
      <c r="F13" s="1038">
        <f>4/55</f>
        <v>7.2727272727272724E-2</v>
      </c>
      <c r="G13" s="824"/>
      <c r="H13" s="1038">
        <f t="shared" ref="H13:H19" si="0">G13*F13</f>
        <v>0</v>
      </c>
    </row>
    <row r="14" spans="1:8" ht="32.25" customHeight="1">
      <c r="A14" s="1164"/>
      <c r="B14" s="1165"/>
      <c r="C14" s="1343"/>
      <c r="D14" s="824">
        <v>5</v>
      </c>
      <c r="E14" s="1030" t="s">
        <v>2384</v>
      </c>
      <c r="F14" s="1038">
        <f>6.5/55</f>
        <v>0.11818181818181818</v>
      </c>
      <c r="G14" s="824"/>
      <c r="H14" s="1038">
        <f t="shared" si="0"/>
        <v>0</v>
      </c>
    </row>
    <row r="15" spans="1:8" ht="52.5" customHeight="1">
      <c r="A15" s="1164"/>
      <c r="B15" s="1165"/>
      <c r="C15" s="1343"/>
      <c r="D15" s="824">
        <v>6</v>
      </c>
      <c r="E15" s="932" t="s">
        <v>2385</v>
      </c>
      <c r="F15" s="1038">
        <f>9/55</f>
        <v>0.16363636363636364</v>
      </c>
      <c r="G15" s="824"/>
      <c r="H15" s="1038">
        <f t="shared" si="0"/>
        <v>0</v>
      </c>
    </row>
    <row r="16" spans="1:8" ht="36" customHeight="1">
      <c r="A16" s="1164"/>
      <c r="B16" s="1165"/>
      <c r="C16" s="1343"/>
      <c r="D16" s="824">
        <v>7</v>
      </c>
      <c r="E16" s="283" t="s">
        <v>2386</v>
      </c>
      <c r="F16" s="1038">
        <f>2/55</f>
        <v>3.6363636363636362E-2</v>
      </c>
      <c r="G16" s="824"/>
      <c r="H16" s="1038">
        <f t="shared" si="0"/>
        <v>0</v>
      </c>
    </row>
    <row r="17" spans="1:12" ht="47.25" customHeight="1">
      <c r="A17" s="1164"/>
      <c r="B17" s="1165"/>
      <c r="C17" s="1343"/>
      <c r="D17" s="824">
        <v>8</v>
      </c>
      <c r="E17" s="932" t="s">
        <v>2233</v>
      </c>
      <c r="F17" s="1038">
        <f>9/55</f>
        <v>0.16363636363636364</v>
      </c>
      <c r="G17" s="824"/>
      <c r="H17" s="1038">
        <f t="shared" si="0"/>
        <v>0</v>
      </c>
    </row>
    <row r="18" spans="1:12" ht="49.5" customHeight="1">
      <c r="A18" s="1164"/>
      <c r="B18" s="1165"/>
      <c r="C18" s="1343"/>
      <c r="D18" s="824">
        <v>9</v>
      </c>
      <c r="E18" s="1030" t="s">
        <v>2387</v>
      </c>
      <c r="F18" s="1038">
        <f>9/55</f>
        <v>0.16363636363636364</v>
      </c>
      <c r="G18" s="824"/>
      <c r="H18" s="1038">
        <f t="shared" si="0"/>
        <v>0</v>
      </c>
    </row>
    <row r="19" spans="1:12" ht="54.75" customHeight="1">
      <c r="A19" s="1164"/>
      <c r="B19" s="1165"/>
      <c r="C19" s="1343"/>
      <c r="D19" s="824">
        <v>10</v>
      </c>
      <c r="E19" s="266" t="s">
        <v>2388</v>
      </c>
      <c r="F19" s="1038">
        <f>1/55</f>
        <v>1.8181818181818181E-2</v>
      </c>
      <c r="G19" s="824"/>
      <c r="H19" s="1038">
        <f t="shared" si="0"/>
        <v>0</v>
      </c>
      <c r="L19" s="401"/>
    </row>
    <row r="20" spans="1:12" ht="18.75">
      <c r="A20" s="1164"/>
      <c r="B20" s="1165"/>
      <c r="C20" s="1343"/>
      <c r="D20" s="634">
        <f>SUM(D10:D19)</f>
        <v>55</v>
      </c>
      <c r="E20" s="1032"/>
      <c r="F20" s="360">
        <f>SUM(F10:F19)</f>
        <v>0.99999999999999989</v>
      </c>
      <c r="G20" s="634"/>
      <c r="H20" s="360">
        <f>SUM(H10:H19)*C10</f>
        <v>0</v>
      </c>
    </row>
    <row r="21" spans="1:12" ht="87.75" customHeight="1">
      <c r="A21" s="1164">
        <v>3</v>
      </c>
      <c r="B21" s="1165" t="s">
        <v>2236</v>
      </c>
      <c r="C21" s="1343">
        <v>0.25</v>
      </c>
      <c r="D21" s="359">
        <v>1</v>
      </c>
      <c r="E21" s="261" t="s">
        <v>2389</v>
      </c>
      <c r="F21" s="360">
        <f>1.5/6</f>
        <v>0.25</v>
      </c>
      <c r="G21" s="359"/>
      <c r="H21" s="360">
        <f>G21*F21</f>
        <v>0</v>
      </c>
    </row>
    <row r="22" spans="1:12" ht="49.5" customHeight="1">
      <c r="A22" s="1164"/>
      <c r="B22" s="1165"/>
      <c r="C22" s="1343"/>
      <c r="D22" s="359">
        <v>2</v>
      </c>
      <c r="E22" s="266" t="s">
        <v>2390</v>
      </c>
      <c r="F22" s="360">
        <f>3/6</f>
        <v>0.5</v>
      </c>
      <c r="G22" s="359"/>
      <c r="H22" s="360">
        <f>G22*F22</f>
        <v>0</v>
      </c>
    </row>
    <row r="23" spans="1:12" ht="48" customHeight="1">
      <c r="A23" s="1164"/>
      <c r="B23" s="1165"/>
      <c r="C23" s="1343"/>
      <c r="D23" s="359">
        <v>3</v>
      </c>
      <c r="E23" s="261" t="s">
        <v>2391</v>
      </c>
      <c r="F23" s="360">
        <f>1.5/6</f>
        <v>0.25</v>
      </c>
      <c r="G23" s="359"/>
      <c r="H23" s="360">
        <f>G23*F23</f>
        <v>0</v>
      </c>
    </row>
    <row r="24" spans="1:12" ht="18.75">
      <c r="A24" s="1164"/>
      <c r="B24" s="1165"/>
      <c r="C24" s="1343"/>
      <c r="D24" s="634">
        <f>SUM(D21:D23)</f>
        <v>6</v>
      </c>
      <c r="E24" s="1036"/>
      <c r="F24" s="360">
        <f>SUM(F21:F23)</f>
        <v>1</v>
      </c>
      <c r="G24" s="634"/>
      <c r="H24" s="360">
        <f>SUM(H21:H23)*C21</f>
        <v>0</v>
      </c>
    </row>
    <row r="25" spans="1:12" ht="66" customHeight="1">
      <c r="A25" s="1164">
        <v>4</v>
      </c>
      <c r="B25" s="1165" t="s">
        <v>2240</v>
      </c>
      <c r="C25" s="1343">
        <v>0.25</v>
      </c>
      <c r="D25" s="359">
        <v>1</v>
      </c>
      <c r="E25" s="1088" t="s">
        <v>2392</v>
      </c>
      <c r="F25" s="1038">
        <f>3.5/28</f>
        <v>0.125</v>
      </c>
      <c r="G25" s="359"/>
      <c r="H25" s="1038">
        <f>G25*F25</f>
        <v>0</v>
      </c>
    </row>
    <row r="26" spans="1:12" ht="34.5" customHeight="1">
      <c r="A26" s="1164"/>
      <c r="B26" s="1165"/>
      <c r="C26" s="1343"/>
      <c r="D26" s="359">
        <v>2</v>
      </c>
      <c r="E26" s="266" t="s">
        <v>2393</v>
      </c>
      <c r="F26" s="1038">
        <f>3.5/28</f>
        <v>0.125</v>
      </c>
      <c r="G26" s="359"/>
      <c r="H26" s="1038">
        <f t="shared" ref="H26:H31" si="1">G26*F26</f>
        <v>0</v>
      </c>
    </row>
    <row r="27" spans="1:12" ht="52.5" customHeight="1">
      <c r="A27" s="1164"/>
      <c r="B27" s="1165"/>
      <c r="C27" s="1343"/>
      <c r="D27" s="359">
        <v>3</v>
      </c>
      <c r="E27" s="261" t="s">
        <v>2394</v>
      </c>
      <c r="F27" s="1038">
        <f>3.5/28</f>
        <v>0.125</v>
      </c>
      <c r="G27" s="359"/>
      <c r="H27" s="1038">
        <f t="shared" si="1"/>
        <v>0</v>
      </c>
    </row>
    <row r="28" spans="1:12" ht="72.75" customHeight="1">
      <c r="A28" s="1164"/>
      <c r="B28" s="1165"/>
      <c r="C28" s="1343"/>
      <c r="D28" s="359">
        <v>4</v>
      </c>
      <c r="E28" s="266" t="s">
        <v>2395</v>
      </c>
      <c r="F28" s="1038">
        <f>7/28</f>
        <v>0.25</v>
      </c>
      <c r="G28" s="359"/>
      <c r="H28" s="1038">
        <f t="shared" si="1"/>
        <v>0</v>
      </c>
    </row>
    <row r="29" spans="1:12" ht="48" customHeight="1">
      <c r="A29" s="1164"/>
      <c r="B29" s="1165"/>
      <c r="C29" s="1343"/>
      <c r="D29" s="359">
        <v>5</v>
      </c>
      <c r="E29" s="109" t="s">
        <v>2396</v>
      </c>
      <c r="F29" s="1038">
        <f>3.5/28</f>
        <v>0.125</v>
      </c>
      <c r="G29" s="359"/>
      <c r="H29" s="1038">
        <f t="shared" si="1"/>
        <v>0</v>
      </c>
    </row>
    <row r="30" spans="1:12" ht="65.25" customHeight="1">
      <c r="A30" s="1164"/>
      <c r="B30" s="1165"/>
      <c r="C30" s="1343"/>
      <c r="D30" s="359">
        <v>6</v>
      </c>
      <c r="E30" s="266" t="s">
        <v>2397</v>
      </c>
      <c r="F30" s="1038">
        <f>3.5/28</f>
        <v>0.125</v>
      </c>
      <c r="G30" s="359"/>
      <c r="H30" s="1038">
        <f t="shared" si="1"/>
        <v>0</v>
      </c>
    </row>
    <row r="31" spans="1:12" ht="87.75" customHeight="1">
      <c r="A31" s="1164"/>
      <c r="B31" s="1165"/>
      <c r="C31" s="1343"/>
      <c r="D31" s="359">
        <v>7</v>
      </c>
      <c r="E31" s="266" t="s">
        <v>2398</v>
      </c>
      <c r="F31" s="1038">
        <f>3.5/28</f>
        <v>0.125</v>
      </c>
      <c r="G31" s="359"/>
      <c r="H31" s="1038">
        <f t="shared" si="1"/>
        <v>0</v>
      </c>
    </row>
    <row r="32" spans="1:12" ht="18.75">
      <c r="A32" s="1164"/>
      <c r="B32" s="1165"/>
      <c r="C32" s="1343"/>
      <c r="D32" s="634">
        <f>SUM(D25:D31)</f>
        <v>28</v>
      </c>
      <c r="E32" s="1032"/>
      <c r="F32" s="1038">
        <f>SUM(F25:F31)</f>
        <v>1</v>
      </c>
      <c r="G32" s="634"/>
      <c r="H32" s="1038">
        <f>SUM(H25:H31)*C25</f>
        <v>0</v>
      </c>
    </row>
    <row r="33" spans="1:8" ht="18.75">
      <c r="A33" s="1344" t="s">
        <v>443</v>
      </c>
      <c r="B33" s="1344"/>
      <c r="C33" s="1344"/>
      <c r="D33" s="1344"/>
      <c r="E33" s="1344"/>
      <c r="F33" s="1344"/>
      <c r="G33" s="1039"/>
      <c r="H33" s="1040">
        <f>H9+H20+H24+H32</f>
        <v>0</v>
      </c>
    </row>
    <row r="34" spans="1:8" ht="18.75">
      <c r="A34" s="1344" t="s">
        <v>444</v>
      </c>
      <c r="B34" s="1344"/>
      <c r="C34" s="1344"/>
      <c r="D34" s="1344"/>
      <c r="E34" s="1344"/>
      <c r="F34" s="1344"/>
      <c r="G34" s="1039"/>
      <c r="H34" s="1040" t="str">
        <f>IF(H33&lt;=0.65,"низький",IF(H33&lt;=0.75,"середній",IF(H33&lt;=0.95,"достатній","високий")))</f>
        <v>низький</v>
      </c>
    </row>
    <row r="35" spans="1:8" s="25" customFormat="1" ht="15.75">
      <c r="A35" s="288" t="s">
        <v>182</v>
      </c>
      <c r="B35" s="289"/>
      <c r="C35" s="59"/>
      <c r="E35" s="642"/>
      <c r="F35" s="643"/>
      <c r="G35" s="112"/>
    </row>
    <row r="36" spans="1:8" s="25" customFormat="1" ht="17.25">
      <c r="A36" s="288" t="s">
        <v>589</v>
      </c>
      <c r="B36" s="289"/>
      <c r="C36" s="59"/>
      <c r="E36" s="642"/>
      <c r="F36" s="643"/>
      <c r="G36" s="112"/>
    </row>
    <row r="37" spans="1:8" s="25" customFormat="1" ht="17.25">
      <c r="A37" s="288" t="s">
        <v>590</v>
      </c>
      <c r="B37" s="289"/>
      <c r="C37" s="59"/>
      <c r="E37" s="642"/>
      <c r="F37" s="643"/>
      <c r="G37" s="112"/>
    </row>
    <row r="38" spans="1:8" s="25" customFormat="1" ht="17.25">
      <c r="A38" s="288" t="s">
        <v>591</v>
      </c>
      <c r="B38" s="289"/>
      <c r="C38" s="59"/>
      <c r="E38" s="642"/>
      <c r="F38" s="643"/>
      <c r="G38" s="112"/>
    </row>
    <row r="39" spans="1:8" s="25" customFormat="1" ht="17.25">
      <c r="A39" s="288" t="s">
        <v>592</v>
      </c>
      <c r="B39" s="289"/>
      <c r="C39" s="59"/>
      <c r="E39" s="642"/>
      <c r="F39" s="643"/>
      <c r="G39" s="112"/>
    </row>
    <row r="40" spans="1:8" s="25" customFormat="1" ht="17.25">
      <c r="A40" s="288" t="s">
        <v>593</v>
      </c>
      <c r="B40" s="289"/>
      <c r="C40" s="59"/>
      <c r="E40" s="642"/>
      <c r="F40" s="643"/>
      <c r="G40" s="112"/>
    </row>
    <row r="41" spans="1:8" s="25" customFormat="1" ht="17.25">
      <c r="A41" s="288" t="s">
        <v>594</v>
      </c>
      <c r="B41" s="289"/>
      <c r="C41" s="59"/>
      <c r="E41" s="642"/>
      <c r="F41" s="643"/>
      <c r="G41" s="112"/>
    </row>
    <row r="42" spans="1:8" s="25" customFormat="1" ht="17.25">
      <c r="A42" s="288" t="s">
        <v>595</v>
      </c>
      <c r="B42" s="289"/>
      <c r="C42" s="59"/>
      <c r="E42" s="642"/>
      <c r="F42" s="643"/>
      <c r="G42" s="112"/>
    </row>
    <row r="43" spans="1:8" s="25" customFormat="1" ht="15.75">
      <c r="A43" s="644" t="s">
        <v>596</v>
      </c>
      <c r="B43" s="289"/>
      <c r="C43" s="59"/>
      <c r="E43" s="642"/>
      <c r="F43" s="643"/>
      <c r="G43" s="112"/>
    </row>
    <row r="44" spans="1:8" s="25" customFormat="1" ht="15.75">
      <c r="A44" s="288" t="s">
        <v>597</v>
      </c>
      <c r="B44" s="289"/>
      <c r="C44" s="59"/>
      <c r="E44" s="642"/>
      <c r="F44" s="643"/>
      <c r="G44" s="112"/>
    </row>
    <row r="45" spans="1:8" s="25" customFormat="1" ht="15.75">
      <c r="A45" s="288" t="s">
        <v>792</v>
      </c>
      <c r="B45" s="289"/>
      <c r="C45" s="59"/>
      <c r="E45" s="642"/>
      <c r="F45" s="643"/>
      <c r="G45" s="112"/>
    </row>
    <row r="46" spans="1:8" s="25" customFormat="1" ht="15.75">
      <c r="A46" s="288" t="s">
        <v>793</v>
      </c>
      <c r="B46" s="289"/>
      <c r="C46" s="59"/>
      <c r="E46" s="642"/>
      <c r="F46" s="643"/>
      <c r="G46" s="112"/>
    </row>
    <row r="47" spans="1:8" s="25" customFormat="1" ht="15.75">
      <c r="A47" s="288" t="s">
        <v>794</v>
      </c>
      <c r="B47" s="289"/>
      <c r="C47" s="59"/>
      <c r="E47" s="642"/>
      <c r="F47" s="643"/>
      <c r="G47" s="112"/>
    </row>
    <row r="48" spans="1:8" s="25" customFormat="1" ht="15.75">
      <c r="A48" s="59"/>
      <c r="B48" s="59" t="s">
        <v>20</v>
      </c>
      <c r="C48" s="59"/>
      <c r="D48" s="59"/>
      <c r="E48" s="59"/>
      <c r="F48" s="59"/>
      <c r="G48" s="59"/>
    </row>
    <row r="49" spans="1:7" s="25" customFormat="1" ht="15.75">
      <c r="A49" s="645"/>
      <c r="B49" s="645"/>
      <c r="C49" s="645"/>
      <c r="D49" s="645"/>
      <c r="E49" s="645"/>
      <c r="F49" s="645"/>
      <c r="G49" s="645"/>
    </row>
    <row r="50" spans="1:7" s="25" customFormat="1" ht="15.75">
      <c r="A50" s="645"/>
      <c r="B50" s="645"/>
      <c r="C50" s="645"/>
      <c r="D50" s="645"/>
      <c r="E50" s="645"/>
      <c r="F50" s="645"/>
      <c r="G50" s="645"/>
    </row>
    <row r="51" spans="1:7" s="25" customFormat="1" ht="15.75">
      <c r="A51" s="645"/>
      <c r="B51" s="645"/>
      <c r="C51" s="645"/>
      <c r="D51" s="645"/>
      <c r="E51" s="645"/>
      <c r="F51" s="645"/>
      <c r="G51" s="645"/>
    </row>
    <row r="52" spans="1:7" s="25" customFormat="1" ht="15.75">
      <c r="A52" s="645"/>
      <c r="B52" s="645"/>
      <c r="C52" s="645"/>
      <c r="D52" s="645"/>
      <c r="E52" s="645"/>
      <c r="F52" s="645"/>
      <c r="G52" s="645"/>
    </row>
    <row r="53" spans="1:7" s="25" customFormat="1" ht="15.75">
      <c r="A53" s="645"/>
      <c r="B53" s="645"/>
      <c r="C53" s="645"/>
      <c r="D53" s="645"/>
      <c r="E53" s="645"/>
      <c r="F53" s="645"/>
      <c r="G53" s="645"/>
    </row>
    <row r="54" spans="1:7" s="25" customFormat="1" ht="15.75">
      <c r="A54" s="645"/>
      <c r="B54" s="645"/>
      <c r="C54" s="645"/>
      <c r="D54" s="645"/>
      <c r="E54" s="645"/>
      <c r="F54" s="645"/>
      <c r="G54" s="645"/>
    </row>
    <row r="55" spans="1:7" s="25" customFormat="1" ht="15.75">
      <c r="A55" s="645"/>
      <c r="B55" s="645"/>
      <c r="C55" s="645"/>
      <c r="D55" s="645"/>
      <c r="E55" s="645"/>
      <c r="F55" s="645"/>
      <c r="G55" s="645"/>
    </row>
    <row r="56" spans="1:7" s="25" customFormat="1" ht="15.75">
      <c r="A56" s="645"/>
      <c r="B56" s="645"/>
      <c r="C56" s="645"/>
      <c r="D56" s="645"/>
      <c r="E56" s="645"/>
      <c r="F56" s="645"/>
      <c r="G56" s="645"/>
    </row>
    <row r="57" spans="1:7" s="25" customFormat="1" ht="15.75">
      <c r="A57" s="645"/>
      <c r="B57" s="645"/>
      <c r="C57" s="645"/>
      <c r="D57" s="645"/>
      <c r="E57" s="645"/>
      <c r="F57" s="645"/>
      <c r="G57" s="645"/>
    </row>
    <row r="58" spans="1:7" s="25" customFormat="1" ht="15.75">
      <c r="A58" s="645"/>
      <c r="B58" s="645"/>
      <c r="C58" s="645"/>
      <c r="D58" s="645"/>
      <c r="E58" s="645"/>
      <c r="F58" s="645"/>
      <c r="G58" s="645"/>
    </row>
    <row r="59" spans="1:7" s="25" customFormat="1" ht="15.75">
      <c r="A59" s="645"/>
      <c r="B59" s="645"/>
      <c r="C59" s="645"/>
      <c r="D59" s="645"/>
      <c r="E59" s="645"/>
      <c r="F59" s="645"/>
      <c r="G59" s="645"/>
    </row>
    <row r="60" spans="1:7" s="25" customFormat="1" ht="15.75">
      <c r="A60" s="645"/>
      <c r="B60" s="645"/>
      <c r="C60" s="645"/>
      <c r="D60" s="645"/>
      <c r="E60" s="645"/>
      <c r="F60" s="645"/>
      <c r="G60" s="645"/>
    </row>
    <row r="61" spans="1:7" s="25" customFormat="1" ht="15.75">
      <c r="A61" s="645"/>
      <c r="B61" s="645"/>
      <c r="C61" s="645"/>
      <c r="D61" s="645"/>
      <c r="E61" s="645"/>
      <c r="F61" s="645"/>
      <c r="G61" s="645"/>
    </row>
    <row r="62" spans="1:7" s="25" customFormat="1" ht="15.75">
      <c r="A62" s="645"/>
      <c r="B62" s="645"/>
      <c r="C62" s="645"/>
      <c r="D62" s="645"/>
      <c r="E62" s="645"/>
      <c r="F62" s="645"/>
      <c r="G62" s="645"/>
    </row>
    <row r="63" spans="1:7" s="25" customFormat="1" ht="15.75">
      <c r="A63" s="59"/>
      <c r="B63" s="646" t="s">
        <v>2418</v>
      </c>
      <c r="C63" s="646"/>
      <c r="D63" s="646"/>
      <c r="E63" s="646"/>
      <c r="F63" s="646"/>
      <c r="G63" s="646"/>
    </row>
    <row r="64" spans="1:7" s="25" customFormat="1" ht="15.75">
      <c r="A64" s="59"/>
      <c r="B64" s="391"/>
      <c r="C64" s="391"/>
      <c r="D64" s="391"/>
      <c r="E64" s="391"/>
      <c r="F64" s="391"/>
      <c r="G64" s="391"/>
    </row>
    <row r="65" spans="1:7" s="25" customFormat="1" ht="15.75">
      <c r="A65" s="59"/>
      <c r="B65" s="646" t="s">
        <v>22</v>
      </c>
      <c r="C65" s="646"/>
      <c r="D65" s="646"/>
      <c r="E65" s="646"/>
      <c r="F65" s="646"/>
      <c r="G65" s="646"/>
    </row>
    <row r="66" spans="1:7" s="25" customFormat="1" ht="15.75">
      <c r="A66" s="59"/>
      <c r="B66" s="391"/>
      <c r="C66" s="391"/>
      <c r="D66" s="391"/>
      <c r="E66" s="391"/>
      <c r="F66" s="391"/>
      <c r="G66" s="391"/>
    </row>
    <row r="67" spans="1:7" s="25" customFormat="1" ht="15.75">
      <c r="A67" s="59"/>
      <c r="B67" s="646" t="s">
        <v>23</v>
      </c>
      <c r="C67" s="646"/>
      <c r="D67" s="646"/>
      <c r="E67" s="646"/>
      <c r="F67" s="646"/>
      <c r="G67" s="646"/>
    </row>
    <row r="68" spans="1:7" s="25" customFormat="1" ht="15.75">
      <c r="A68" s="59"/>
      <c r="B68" s="646" t="s">
        <v>24</v>
      </c>
      <c r="C68" s="646"/>
      <c r="D68" s="646"/>
      <c r="E68" s="646"/>
      <c r="F68" s="646"/>
      <c r="G68" s="646"/>
    </row>
    <row r="69" spans="1:7" s="25" customFormat="1" ht="15.75">
      <c r="A69" s="289"/>
      <c r="B69" s="289"/>
      <c r="E69" s="332"/>
    </row>
  </sheetData>
  <mergeCells count="15">
    <mergeCell ref="A34:F34"/>
    <mergeCell ref="A21:A24"/>
    <mergeCell ref="B21:B24"/>
    <mergeCell ref="C21:C24"/>
    <mergeCell ref="A25:A32"/>
    <mergeCell ref="B25:B32"/>
    <mergeCell ref="C25:C32"/>
    <mergeCell ref="A33:F33"/>
    <mergeCell ref="A2:H2"/>
    <mergeCell ref="A4:A9"/>
    <mergeCell ref="B4:B9"/>
    <mergeCell ref="C4:C9"/>
    <mergeCell ref="A10:A20"/>
    <mergeCell ref="B10:B20"/>
    <mergeCell ref="C10:C20"/>
  </mergeCells>
  <phoneticPr fontId="4" type="noConversion"/>
  <pageMargins left="0.7" right="0.7" top="0.75" bottom="0.75" header="0.3" footer="0.3"/>
  <pageSetup paperSize="9" scale="60" orientation="portrait" r:id="rId1"/>
</worksheet>
</file>

<file path=xl/worksheets/sheet38.xml><?xml version="1.0" encoding="utf-8"?>
<worksheet xmlns="http://schemas.openxmlformats.org/spreadsheetml/2006/main" xmlns:r="http://schemas.openxmlformats.org/officeDocument/2006/relationships">
  <dimension ref="A2:H96"/>
  <sheetViews>
    <sheetView workbookViewId="0">
      <selection activeCell="D4" sqref="D4"/>
    </sheetView>
  </sheetViews>
  <sheetFormatPr defaultRowHeight="18"/>
  <cols>
    <col min="2" max="2" width="24.85546875" customWidth="1"/>
    <col min="3" max="3" width="11.5703125" style="378" customWidth="1"/>
    <col min="4" max="4" width="53.140625" style="23" customWidth="1"/>
    <col min="5" max="5" width="13.5703125" style="378" customWidth="1"/>
    <col min="6" max="6" width="13.42578125" style="379" customWidth="1"/>
    <col min="7" max="7" width="17.42578125" style="380" customWidth="1"/>
    <col min="8" max="16384" width="9.140625" style="356"/>
  </cols>
  <sheetData>
    <row r="2" spans="1:7" ht="100.5" customHeight="1">
      <c r="A2" s="1161" t="s">
        <v>2326</v>
      </c>
      <c r="B2" s="1162"/>
      <c r="C2" s="1162"/>
      <c r="D2" s="1162"/>
      <c r="E2" s="1162"/>
      <c r="F2" s="1162"/>
      <c r="G2" s="1163"/>
    </row>
    <row r="3" spans="1:7" ht="48.75" customHeight="1">
      <c r="A3" s="631" t="s">
        <v>1443</v>
      </c>
      <c r="B3" s="631" t="s">
        <v>1444</v>
      </c>
      <c r="C3" s="813" t="s">
        <v>1445</v>
      </c>
      <c r="D3" s="631" t="s">
        <v>452</v>
      </c>
      <c r="E3" s="813" t="s">
        <v>1445</v>
      </c>
      <c r="F3" s="630" t="s">
        <v>399</v>
      </c>
      <c r="G3" s="633" t="s">
        <v>1446</v>
      </c>
    </row>
    <row r="4" spans="1:7" ht="33">
      <c r="A4" s="1150">
        <v>1</v>
      </c>
      <c r="B4" s="1345" t="s">
        <v>2327</v>
      </c>
      <c r="C4" s="1156">
        <f>8/45</f>
        <v>0.17777777777777778</v>
      </c>
      <c r="D4" s="357" t="s">
        <v>2328</v>
      </c>
      <c r="E4" s="358">
        <f>3.5/10</f>
        <v>0.35</v>
      </c>
      <c r="F4" s="359"/>
      <c r="G4" s="360">
        <f>F4*E4</f>
        <v>0</v>
      </c>
    </row>
    <row r="5" spans="1:7" ht="33">
      <c r="A5" s="1151"/>
      <c r="B5" s="1346"/>
      <c r="C5" s="1156"/>
      <c r="D5" s="357" t="s">
        <v>2329</v>
      </c>
      <c r="E5" s="358">
        <f>1.5/10</f>
        <v>0.15</v>
      </c>
      <c r="F5" s="359"/>
      <c r="G5" s="360">
        <f t="shared" ref="G5:G56" si="0">F5*E5</f>
        <v>0</v>
      </c>
    </row>
    <row r="6" spans="1:7" ht="82.5">
      <c r="A6" s="1151"/>
      <c r="B6" s="1346"/>
      <c r="C6" s="1156"/>
      <c r="D6" s="357" t="s">
        <v>2330</v>
      </c>
      <c r="E6" s="358">
        <f>1.5/10</f>
        <v>0.15</v>
      </c>
      <c r="F6" s="359"/>
      <c r="G6" s="360">
        <f t="shared" si="0"/>
        <v>0</v>
      </c>
    </row>
    <row r="7" spans="1:7" ht="33">
      <c r="A7" s="1151"/>
      <c r="B7" s="1346"/>
      <c r="C7" s="1156"/>
      <c r="D7" s="357" t="s">
        <v>2331</v>
      </c>
      <c r="E7" s="358">
        <f>3.5/10</f>
        <v>0.35</v>
      </c>
      <c r="F7" s="359"/>
      <c r="G7" s="360">
        <f t="shared" si="0"/>
        <v>0</v>
      </c>
    </row>
    <row r="8" spans="1:7" ht="18.75">
      <c r="A8" s="1152"/>
      <c r="B8" s="1347"/>
      <c r="C8" s="1156"/>
      <c r="D8" s="361"/>
      <c r="E8" s="362">
        <f>SUM(E4:E7)</f>
        <v>1</v>
      </c>
      <c r="F8" s="361"/>
      <c r="G8" s="363">
        <f>SUM(G4:G7)*C4</f>
        <v>0</v>
      </c>
    </row>
    <row r="9" spans="1:7" ht="52.5" customHeight="1">
      <c r="A9" s="1150">
        <v>2</v>
      </c>
      <c r="B9" s="1153" t="s">
        <v>2332</v>
      </c>
      <c r="C9" s="1156">
        <f>8/45</f>
        <v>0.17777777777777778</v>
      </c>
      <c r="D9" s="357" t="s">
        <v>2333</v>
      </c>
      <c r="E9" s="358">
        <f>1.5/6</f>
        <v>0.25</v>
      </c>
      <c r="F9" s="359"/>
      <c r="G9" s="360">
        <f t="shared" si="0"/>
        <v>0</v>
      </c>
    </row>
    <row r="10" spans="1:7" ht="33">
      <c r="A10" s="1151"/>
      <c r="B10" s="1154"/>
      <c r="C10" s="1156"/>
      <c r="D10" s="357" t="s">
        <v>2334</v>
      </c>
      <c r="E10" s="358">
        <f>3/6</f>
        <v>0.5</v>
      </c>
      <c r="F10" s="359"/>
      <c r="G10" s="360">
        <f t="shared" si="0"/>
        <v>0</v>
      </c>
    </row>
    <row r="11" spans="1:7" ht="33">
      <c r="A11" s="1151"/>
      <c r="B11" s="1154"/>
      <c r="C11" s="1156"/>
      <c r="D11" s="357" t="s">
        <v>2335</v>
      </c>
      <c r="E11" s="358">
        <f>1.5/6</f>
        <v>0.25</v>
      </c>
      <c r="F11" s="359"/>
      <c r="G11" s="360">
        <f t="shared" si="0"/>
        <v>0</v>
      </c>
    </row>
    <row r="12" spans="1:7" ht="21.75" customHeight="1">
      <c r="A12" s="1152"/>
      <c r="B12" s="1155"/>
      <c r="C12" s="1156"/>
      <c r="D12" s="364"/>
      <c r="E12" s="365">
        <f>SUM(E9:E11)</f>
        <v>1</v>
      </c>
      <c r="F12" s="361"/>
      <c r="G12" s="363">
        <f>SUM(G9:G11)*C9</f>
        <v>0</v>
      </c>
    </row>
    <row r="13" spans="1:7" ht="16.5" customHeight="1">
      <c r="A13" s="1150">
        <v>3</v>
      </c>
      <c r="B13" s="1153" t="s">
        <v>203</v>
      </c>
      <c r="C13" s="1156">
        <f>8/45</f>
        <v>0.17777777777777778</v>
      </c>
      <c r="D13" s="357" t="s">
        <v>2336</v>
      </c>
      <c r="E13" s="358">
        <f>3/6</f>
        <v>0.5</v>
      </c>
      <c r="F13" s="359"/>
      <c r="G13" s="360">
        <f t="shared" si="0"/>
        <v>0</v>
      </c>
    </row>
    <row r="14" spans="1:7" ht="33">
      <c r="A14" s="1151"/>
      <c r="B14" s="1154"/>
      <c r="C14" s="1156"/>
      <c r="D14" s="357" t="s">
        <v>2337</v>
      </c>
      <c r="E14" s="358">
        <f>1.5/6</f>
        <v>0.25</v>
      </c>
      <c r="F14" s="359"/>
      <c r="G14" s="360">
        <f t="shared" si="0"/>
        <v>0</v>
      </c>
    </row>
    <row r="15" spans="1:7" ht="55.5" customHeight="1">
      <c r="A15" s="1151"/>
      <c r="B15" s="1154"/>
      <c r="C15" s="1156"/>
      <c r="D15" s="397" t="s">
        <v>2338</v>
      </c>
      <c r="E15" s="358">
        <f>1.5/6</f>
        <v>0.25</v>
      </c>
      <c r="F15" s="359"/>
      <c r="G15" s="360">
        <f t="shared" si="0"/>
        <v>0</v>
      </c>
    </row>
    <row r="16" spans="1:7" ht="18.75">
      <c r="A16" s="1152"/>
      <c r="B16" s="1155"/>
      <c r="C16" s="1156"/>
      <c r="D16" s="366"/>
      <c r="E16" s="365">
        <f>SUM(E13:E15)</f>
        <v>1</v>
      </c>
      <c r="F16" s="361"/>
      <c r="G16" s="363">
        <f>SUM(G13:G15)*C13</f>
        <v>0</v>
      </c>
    </row>
    <row r="17" spans="1:7" ht="32.25" customHeight="1">
      <c r="A17" s="1150">
        <v>4</v>
      </c>
      <c r="B17" s="1153" t="s">
        <v>2339</v>
      </c>
      <c r="C17" s="1348">
        <f>5.5/45</f>
        <v>0.12222222222222222</v>
      </c>
      <c r="D17" s="357" t="s">
        <v>2340</v>
      </c>
      <c r="E17" s="358">
        <f>1.5/6</f>
        <v>0.25</v>
      </c>
      <c r="F17" s="359"/>
      <c r="G17" s="360">
        <f t="shared" si="0"/>
        <v>0</v>
      </c>
    </row>
    <row r="18" spans="1:7" ht="33">
      <c r="A18" s="1151"/>
      <c r="B18" s="1154"/>
      <c r="C18" s="1349"/>
      <c r="D18" s="357" t="s">
        <v>2341</v>
      </c>
      <c r="E18" s="358">
        <f>1.5/6</f>
        <v>0.25</v>
      </c>
      <c r="F18" s="359"/>
      <c r="G18" s="360">
        <f t="shared" si="0"/>
        <v>0</v>
      </c>
    </row>
    <row r="19" spans="1:7" ht="49.5">
      <c r="A19" s="1151"/>
      <c r="B19" s="1154"/>
      <c r="C19" s="1349"/>
      <c r="D19" s="357" t="s">
        <v>2342</v>
      </c>
      <c r="E19" s="358">
        <f>3/6</f>
        <v>0.5</v>
      </c>
      <c r="F19" s="359"/>
      <c r="G19" s="360">
        <f t="shared" si="0"/>
        <v>0</v>
      </c>
    </row>
    <row r="20" spans="1:7" ht="18.75">
      <c r="A20" s="1152"/>
      <c r="B20" s="1155"/>
      <c r="C20" s="1350"/>
      <c r="D20" s="364"/>
      <c r="E20" s="365">
        <f>SUM(E17:E19)</f>
        <v>1</v>
      </c>
      <c r="F20" s="361"/>
      <c r="G20" s="363">
        <f>SUM(G17:G19)*C17</f>
        <v>0</v>
      </c>
    </row>
    <row r="21" spans="1:7" ht="16.5" customHeight="1">
      <c r="A21" s="1150">
        <v>5</v>
      </c>
      <c r="B21" s="1153" t="s">
        <v>2343</v>
      </c>
      <c r="C21" s="1156">
        <f>5.5/45</f>
        <v>0.12222222222222222</v>
      </c>
      <c r="D21" s="357" t="s">
        <v>2344</v>
      </c>
      <c r="E21" s="358">
        <f>3/28</f>
        <v>0.10714285714285714</v>
      </c>
      <c r="F21" s="359"/>
      <c r="G21" s="360">
        <f t="shared" si="0"/>
        <v>0</v>
      </c>
    </row>
    <row r="22" spans="1:7" ht="22.5" customHeight="1">
      <c r="A22" s="1151"/>
      <c r="B22" s="1154"/>
      <c r="C22" s="1156"/>
      <c r="D22" s="357" t="s">
        <v>2345</v>
      </c>
      <c r="E22" s="358">
        <f>6.5/28</f>
        <v>0.23214285714285715</v>
      </c>
      <c r="F22" s="359"/>
      <c r="G22" s="360">
        <f t="shared" si="0"/>
        <v>0</v>
      </c>
    </row>
    <row r="23" spans="1:7" ht="24.75" customHeight="1">
      <c r="A23" s="1151"/>
      <c r="B23" s="1154"/>
      <c r="C23" s="1156"/>
      <c r="D23" s="357" t="s">
        <v>2346</v>
      </c>
      <c r="E23" s="358">
        <f>4.5/28</f>
        <v>0.16071428571428573</v>
      </c>
      <c r="F23" s="359"/>
      <c r="G23" s="360">
        <f t="shared" si="0"/>
        <v>0</v>
      </c>
    </row>
    <row r="24" spans="1:7" ht="33">
      <c r="A24" s="1151"/>
      <c r="B24" s="1154"/>
      <c r="C24" s="1156"/>
      <c r="D24" s="357" t="s">
        <v>2347</v>
      </c>
      <c r="E24" s="358">
        <f>6.5/28</f>
        <v>0.23214285714285715</v>
      </c>
      <c r="F24" s="359"/>
      <c r="G24" s="360">
        <f t="shared" si="0"/>
        <v>0</v>
      </c>
    </row>
    <row r="25" spans="1:7" ht="33">
      <c r="A25" s="1151"/>
      <c r="B25" s="1154"/>
      <c r="C25" s="1156"/>
      <c r="D25" s="357" t="s">
        <v>2348</v>
      </c>
      <c r="E25" s="358">
        <f>4.5/28</f>
        <v>0.16071428571428573</v>
      </c>
      <c r="F25" s="359"/>
      <c r="G25" s="360">
        <f t="shared" si="0"/>
        <v>0</v>
      </c>
    </row>
    <row r="26" spans="1:7" ht="38.25" customHeight="1">
      <c r="A26" s="1151"/>
      <c r="B26" s="1154"/>
      <c r="C26" s="1156"/>
      <c r="D26" s="367" t="s">
        <v>2349</v>
      </c>
      <c r="E26" s="358">
        <f>2/28</f>
        <v>7.1428571428571425E-2</v>
      </c>
      <c r="F26" s="368"/>
      <c r="G26" s="360">
        <f t="shared" si="0"/>
        <v>0</v>
      </c>
    </row>
    <row r="27" spans="1:7" ht="49.5">
      <c r="A27" s="1151"/>
      <c r="B27" s="1154"/>
      <c r="C27" s="1156"/>
      <c r="D27" s="357" t="s">
        <v>2350</v>
      </c>
      <c r="E27" s="358">
        <f>1/28</f>
        <v>3.5714285714285712E-2</v>
      </c>
      <c r="F27" s="359"/>
      <c r="G27" s="360">
        <f t="shared" si="0"/>
        <v>0</v>
      </c>
    </row>
    <row r="28" spans="1:7" ht="18.75">
      <c r="A28" s="1152"/>
      <c r="B28" s="1155"/>
      <c r="C28" s="1156"/>
      <c r="D28" s="364"/>
      <c r="E28" s="365">
        <f>SUM(E21:E27)</f>
        <v>1</v>
      </c>
      <c r="F28" s="361"/>
      <c r="G28" s="363">
        <f>SUM(G21:G27)*C21</f>
        <v>0</v>
      </c>
    </row>
    <row r="29" spans="1:7" ht="20.25" customHeight="1">
      <c r="A29" s="1150">
        <v>6</v>
      </c>
      <c r="B29" s="1153" t="s">
        <v>2351</v>
      </c>
      <c r="C29" s="1156">
        <f>2.5/45</f>
        <v>5.5555555555555552E-2</v>
      </c>
      <c r="D29" s="357" t="s">
        <v>2352</v>
      </c>
      <c r="E29" s="358">
        <f>12/91</f>
        <v>0.13186813186813187</v>
      </c>
      <c r="F29" s="359"/>
      <c r="G29" s="360">
        <f t="shared" si="0"/>
        <v>0</v>
      </c>
    </row>
    <row r="30" spans="1:7" ht="17.25" customHeight="1">
      <c r="A30" s="1151"/>
      <c r="B30" s="1154"/>
      <c r="C30" s="1156"/>
      <c r="D30" s="1080" t="s">
        <v>2353</v>
      </c>
      <c r="E30" s="358">
        <f>12/91</f>
        <v>0.13186813186813187</v>
      </c>
      <c r="F30" s="359"/>
      <c r="G30" s="360">
        <f t="shared" si="0"/>
        <v>0</v>
      </c>
    </row>
    <row r="31" spans="1:7" ht="22.5" customHeight="1">
      <c r="A31" s="1151"/>
      <c r="B31" s="1154"/>
      <c r="C31" s="1156"/>
      <c r="D31" s="357" t="s">
        <v>2354</v>
      </c>
      <c r="E31" s="358">
        <f>9/91</f>
        <v>9.8901098901098897E-2</v>
      </c>
      <c r="F31" s="369"/>
      <c r="G31" s="360">
        <f t="shared" si="0"/>
        <v>0</v>
      </c>
    </row>
    <row r="32" spans="1:7" ht="18" customHeight="1">
      <c r="A32" s="1151"/>
      <c r="B32" s="1154"/>
      <c r="C32" s="1156"/>
      <c r="D32" s="1081" t="s">
        <v>2355</v>
      </c>
      <c r="E32" s="358">
        <f>9/91</f>
        <v>9.8901098901098897E-2</v>
      </c>
      <c r="F32" s="359"/>
      <c r="G32" s="360">
        <f t="shared" si="0"/>
        <v>0</v>
      </c>
    </row>
    <row r="33" spans="1:7" ht="18.75">
      <c r="A33" s="1151"/>
      <c r="B33" s="1154"/>
      <c r="C33" s="1156"/>
      <c r="D33" s="1080" t="s">
        <v>2356</v>
      </c>
      <c r="E33" s="358">
        <f>6.5/91</f>
        <v>7.1428571428571425E-2</v>
      </c>
      <c r="F33" s="359"/>
      <c r="G33" s="360">
        <f t="shared" si="0"/>
        <v>0</v>
      </c>
    </row>
    <row r="34" spans="1:7" ht="21.75" customHeight="1">
      <c r="A34" s="1151"/>
      <c r="B34" s="1154"/>
      <c r="C34" s="1156"/>
      <c r="D34" s="357" t="s">
        <v>2357</v>
      </c>
      <c r="E34" s="358">
        <f>6.5/91</f>
        <v>7.1428571428571425E-2</v>
      </c>
      <c r="F34" s="359"/>
      <c r="G34" s="360">
        <f t="shared" si="0"/>
        <v>0</v>
      </c>
    </row>
    <row r="35" spans="1:7" ht="18.75">
      <c r="A35" s="1151"/>
      <c r="B35" s="1154"/>
      <c r="C35" s="1156"/>
      <c r="D35" s="357" t="s">
        <v>2358</v>
      </c>
      <c r="E35" s="358">
        <f>1/91</f>
        <v>1.098901098901099E-2</v>
      </c>
      <c r="F35" s="359"/>
      <c r="G35" s="360">
        <f t="shared" si="0"/>
        <v>0</v>
      </c>
    </row>
    <row r="36" spans="1:7" ht="18.75">
      <c r="A36" s="1151"/>
      <c r="B36" s="1154"/>
      <c r="C36" s="1156"/>
      <c r="D36" s="357" t="s">
        <v>2359</v>
      </c>
      <c r="E36" s="358">
        <f>2/91</f>
        <v>2.197802197802198E-2</v>
      </c>
      <c r="F36" s="359"/>
      <c r="G36" s="360">
        <f t="shared" si="0"/>
        <v>0</v>
      </c>
    </row>
    <row r="37" spans="1:7" ht="18.75">
      <c r="A37" s="1151"/>
      <c r="B37" s="1154"/>
      <c r="C37" s="1156"/>
      <c r="D37" s="1082" t="s">
        <v>2360</v>
      </c>
      <c r="E37" s="358">
        <f>4.5/91</f>
        <v>4.9450549450549448E-2</v>
      </c>
      <c r="F37" s="359"/>
      <c r="G37" s="360">
        <f t="shared" si="0"/>
        <v>0</v>
      </c>
    </row>
    <row r="38" spans="1:7" ht="20.25" customHeight="1">
      <c r="A38" s="1151"/>
      <c r="B38" s="1154"/>
      <c r="C38" s="1156"/>
      <c r="D38" s="357" t="s">
        <v>2361</v>
      </c>
      <c r="E38" s="358">
        <f>9/91</f>
        <v>9.8901098901098897E-2</v>
      </c>
      <c r="F38" s="359"/>
      <c r="G38" s="360">
        <f t="shared" si="0"/>
        <v>0</v>
      </c>
    </row>
    <row r="39" spans="1:7" ht="16.5" customHeight="1">
      <c r="A39" s="1151"/>
      <c r="B39" s="1154"/>
      <c r="C39" s="1156"/>
      <c r="D39" s="1080" t="s">
        <v>2362</v>
      </c>
      <c r="E39" s="358">
        <f>3/91</f>
        <v>3.2967032967032968E-2</v>
      </c>
      <c r="F39" s="372"/>
      <c r="G39" s="360">
        <f t="shared" si="0"/>
        <v>0</v>
      </c>
    </row>
    <row r="40" spans="1:7" ht="21" customHeight="1">
      <c r="A40" s="1151"/>
      <c r="B40" s="1154"/>
      <c r="C40" s="1156"/>
      <c r="D40" s="357" t="s">
        <v>2363</v>
      </c>
      <c r="E40" s="358">
        <f>12/91</f>
        <v>0.13186813186813187</v>
      </c>
      <c r="F40" s="372"/>
      <c r="G40" s="360">
        <f t="shared" si="0"/>
        <v>0</v>
      </c>
    </row>
    <row r="41" spans="1:7" ht="18.75">
      <c r="A41" s="1151"/>
      <c r="B41" s="1154"/>
      <c r="C41" s="1156"/>
      <c r="D41" s="357" t="s">
        <v>2364</v>
      </c>
      <c r="E41" s="358">
        <f>4.5/91</f>
        <v>4.9450549450549448E-2</v>
      </c>
      <c r="F41" s="372"/>
      <c r="G41" s="360">
        <f t="shared" si="0"/>
        <v>0</v>
      </c>
    </row>
    <row r="42" spans="1:7" ht="18" customHeight="1">
      <c r="A42" s="1152"/>
      <c r="B42" s="1155"/>
      <c r="C42" s="1156"/>
      <c r="D42" s="364"/>
      <c r="E42" s="365">
        <f>SUM(E29:E41)</f>
        <v>1</v>
      </c>
      <c r="F42" s="361"/>
      <c r="G42" s="363">
        <f>SUM(G29:G41)*C29</f>
        <v>0</v>
      </c>
    </row>
    <row r="43" spans="1:7" ht="33" customHeight="1">
      <c r="A43" s="1150">
        <v>7</v>
      </c>
      <c r="B43" s="1153" t="s">
        <v>2365</v>
      </c>
      <c r="C43" s="1156">
        <f>2.5/45</f>
        <v>5.5555555555555552E-2</v>
      </c>
      <c r="D43" s="357" t="s">
        <v>2366</v>
      </c>
      <c r="E43" s="358">
        <f>2/3</f>
        <v>0.66666666666666663</v>
      </c>
      <c r="F43" s="359"/>
      <c r="G43" s="360">
        <f t="shared" si="0"/>
        <v>0</v>
      </c>
    </row>
    <row r="44" spans="1:7" ht="18.75">
      <c r="A44" s="1151"/>
      <c r="B44" s="1154"/>
      <c r="C44" s="1156"/>
      <c r="D44" s="357" t="s">
        <v>2367</v>
      </c>
      <c r="E44" s="358">
        <f>1/3</f>
        <v>0.33333333333333331</v>
      </c>
      <c r="F44" s="359"/>
      <c r="G44" s="360">
        <f t="shared" si="0"/>
        <v>0</v>
      </c>
    </row>
    <row r="45" spans="1:7" ht="18.75">
      <c r="A45" s="1152"/>
      <c r="B45" s="1155"/>
      <c r="C45" s="1156"/>
      <c r="D45" s="364"/>
      <c r="E45" s="365">
        <f>SUM(E43:E44)</f>
        <v>1</v>
      </c>
      <c r="F45" s="361"/>
      <c r="G45" s="363">
        <f>SUM(G43:G44)*C43</f>
        <v>0</v>
      </c>
    </row>
    <row r="46" spans="1:7" ht="54.75" customHeight="1">
      <c r="A46" s="1158">
        <v>8</v>
      </c>
      <c r="B46" s="1153" t="s">
        <v>418</v>
      </c>
      <c r="C46" s="1156">
        <f>2.5/45</f>
        <v>5.5555555555555552E-2</v>
      </c>
      <c r="D46" s="357" t="s">
        <v>2368</v>
      </c>
      <c r="E46" s="358">
        <f>3.5/10</f>
        <v>0.35</v>
      </c>
      <c r="F46" s="359"/>
      <c r="G46" s="360">
        <f t="shared" si="0"/>
        <v>0</v>
      </c>
    </row>
    <row r="47" spans="1:7" ht="69.75" customHeight="1">
      <c r="A47" s="1159"/>
      <c r="B47" s="1154"/>
      <c r="C47" s="1156"/>
      <c r="D47" s="357" t="s">
        <v>2369</v>
      </c>
      <c r="E47" s="358">
        <f>3.5/10</f>
        <v>0.35</v>
      </c>
      <c r="F47" s="359"/>
      <c r="G47" s="360">
        <f t="shared" si="0"/>
        <v>0</v>
      </c>
    </row>
    <row r="48" spans="1:7" ht="33.75" customHeight="1">
      <c r="A48" s="1159"/>
      <c r="B48" s="1154"/>
      <c r="C48" s="1156"/>
      <c r="D48" s="357" t="s">
        <v>1065</v>
      </c>
      <c r="E48" s="358">
        <f>1.5/10</f>
        <v>0.15</v>
      </c>
      <c r="F48" s="359"/>
      <c r="G48" s="360">
        <f t="shared" si="0"/>
        <v>0</v>
      </c>
    </row>
    <row r="49" spans="1:7" ht="18.75">
      <c r="A49" s="1159"/>
      <c r="B49" s="1154"/>
      <c r="C49" s="1156"/>
      <c r="D49" s="373" t="s">
        <v>1066</v>
      </c>
      <c r="E49" s="358">
        <f>0.15</f>
        <v>0.15</v>
      </c>
      <c r="F49" s="372"/>
      <c r="G49" s="360">
        <f t="shared" si="0"/>
        <v>0</v>
      </c>
    </row>
    <row r="50" spans="1:7" ht="16.5" customHeight="1">
      <c r="A50" s="1160"/>
      <c r="B50" s="1155"/>
      <c r="C50" s="1156"/>
      <c r="D50" s="364"/>
      <c r="E50" s="365">
        <f>SUM(E46:E49)</f>
        <v>1</v>
      </c>
      <c r="F50" s="361"/>
      <c r="G50" s="363">
        <f>SUM(G46:G49)*C46</f>
        <v>0</v>
      </c>
    </row>
    <row r="51" spans="1:7" ht="36.75" customHeight="1">
      <c r="A51" s="1150">
        <v>9</v>
      </c>
      <c r="B51" s="1153" t="s">
        <v>2370</v>
      </c>
      <c r="C51" s="1156">
        <f>2.5/45</f>
        <v>5.5555555555555552E-2</v>
      </c>
      <c r="D51" s="357" t="s">
        <v>2371</v>
      </c>
      <c r="E51" s="358">
        <v>0.14000000000000001</v>
      </c>
      <c r="F51" s="359"/>
      <c r="G51" s="360">
        <f t="shared" si="0"/>
        <v>0</v>
      </c>
    </row>
    <row r="52" spans="1:7" ht="33.75">
      <c r="A52" s="1151"/>
      <c r="B52" s="1154"/>
      <c r="C52" s="1156"/>
      <c r="D52" s="1083" t="s">
        <v>2372</v>
      </c>
      <c r="E52" s="358">
        <v>0.24</v>
      </c>
      <c r="F52" s="359"/>
      <c r="G52" s="360">
        <f t="shared" si="0"/>
        <v>0</v>
      </c>
    </row>
    <row r="53" spans="1:7" ht="18.75">
      <c r="A53" s="1151"/>
      <c r="B53" s="1154"/>
      <c r="C53" s="1156"/>
      <c r="D53" s="357" t="s">
        <v>2373</v>
      </c>
      <c r="E53" s="358">
        <v>0.04</v>
      </c>
      <c r="F53" s="359"/>
      <c r="G53" s="360">
        <f t="shared" si="0"/>
        <v>0</v>
      </c>
    </row>
    <row r="54" spans="1:7" ht="33">
      <c r="A54" s="1151"/>
      <c r="B54" s="1154"/>
      <c r="C54" s="1156"/>
      <c r="D54" s="357" t="s">
        <v>2374</v>
      </c>
      <c r="E54" s="358">
        <v>0.1</v>
      </c>
      <c r="F54" s="359"/>
      <c r="G54" s="360">
        <f t="shared" si="0"/>
        <v>0</v>
      </c>
    </row>
    <row r="55" spans="1:7" ht="18.75">
      <c r="A55" s="1151"/>
      <c r="B55" s="1154"/>
      <c r="C55" s="1156"/>
      <c r="D55" s="357" t="s">
        <v>2375</v>
      </c>
      <c r="E55" s="358">
        <v>0.24</v>
      </c>
      <c r="F55" s="374"/>
      <c r="G55" s="360">
        <f t="shared" si="0"/>
        <v>0</v>
      </c>
    </row>
    <row r="56" spans="1:7" ht="49.5">
      <c r="A56" s="1151"/>
      <c r="B56" s="1154"/>
      <c r="C56" s="1156"/>
      <c r="D56" s="357" t="s">
        <v>2376</v>
      </c>
      <c r="E56" s="358">
        <v>0.24</v>
      </c>
      <c r="F56" s="374"/>
      <c r="G56" s="360">
        <f t="shared" si="0"/>
        <v>0</v>
      </c>
    </row>
    <row r="57" spans="1:7" ht="18.75">
      <c r="A57" s="1152"/>
      <c r="B57" s="1155"/>
      <c r="C57" s="1156"/>
      <c r="D57" s="364"/>
      <c r="E57" s="362">
        <f>SUM(E51:E56)</f>
        <v>1</v>
      </c>
      <c r="F57" s="375"/>
      <c r="G57" s="363">
        <f>SUM(G51:G56)*C51</f>
        <v>0</v>
      </c>
    </row>
    <row r="58" spans="1:7" ht="23.25" customHeight="1">
      <c r="A58" s="1084" t="s">
        <v>443</v>
      </c>
      <c r="B58" s="1085"/>
      <c r="C58" s="1087">
        <f>SUM(C4:C57)</f>
        <v>1</v>
      </c>
      <c r="D58" s="1085"/>
      <c r="E58" s="1086"/>
      <c r="F58" s="376"/>
      <c r="G58" s="360">
        <f>G8+G12+G16+G20+G28+G42+G45+G50+G57</f>
        <v>0</v>
      </c>
    </row>
    <row r="59" spans="1:7" ht="26.25" customHeight="1">
      <c r="A59" s="1157" t="s">
        <v>444</v>
      </c>
      <c r="B59" s="1157"/>
      <c r="C59" s="1157"/>
      <c r="D59" s="1157"/>
      <c r="E59" s="1157"/>
      <c r="F59" s="376"/>
      <c r="G59" s="1039" t="str">
        <f>IF(G58&lt;=0.65,"низький",IF(G58&lt;=0.75,"середній",IF(G58&lt;=0.95,"достатній","високий")))</f>
        <v>низький</v>
      </c>
    </row>
    <row r="60" spans="1:7" s="25" customFormat="1" ht="15.75">
      <c r="A60" s="288" t="s">
        <v>182</v>
      </c>
      <c r="B60" s="289"/>
      <c r="C60" s="59"/>
      <c r="E60" s="642"/>
      <c r="F60" s="643"/>
      <c r="G60" s="112"/>
    </row>
    <row r="61" spans="1:7" s="25" customFormat="1" ht="17.25">
      <c r="A61" s="288" t="s">
        <v>589</v>
      </c>
      <c r="B61" s="289"/>
      <c r="C61" s="59"/>
      <c r="E61" s="642"/>
      <c r="F61" s="643"/>
      <c r="G61" s="112"/>
    </row>
    <row r="62" spans="1:7" s="25" customFormat="1" ht="17.25">
      <c r="A62" s="288" t="s">
        <v>590</v>
      </c>
      <c r="B62" s="289"/>
      <c r="C62" s="59"/>
      <c r="E62" s="642"/>
      <c r="F62" s="643"/>
      <c r="G62" s="112"/>
    </row>
    <row r="63" spans="1:7" s="25" customFormat="1" ht="17.25">
      <c r="A63" s="288" t="s">
        <v>591</v>
      </c>
      <c r="B63" s="289"/>
      <c r="C63" s="59"/>
      <c r="E63" s="642"/>
      <c r="F63" s="643"/>
      <c r="G63" s="112"/>
    </row>
    <row r="64" spans="1:7" s="25" customFormat="1" ht="17.25">
      <c r="A64" s="288" t="s">
        <v>592</v>
      </c>
      <c r="B64" s="289"/>
      <c r="C64" s="59"/>
      <c r="E64" s="642"/>
      <c r="F64" s="643"/>
      <c r="G64" s="112"/>
    </row>
    <row r="65" spans="1:7" s="25" customFormat="1" ht="17.25">
      <c r="A65" s="288" t="s">
        <v>593</v>
      </c>
      <c r="B65" s="289"/>
      <c r="C65" s="59"/>
      <c r="E65" s="642"/>
      <c r="F65" s="643"/>
      <c r="G65" s="112"/>
    </row>
    <row r="66" spans="1:7" s="25" customFormat="1" ht="17.25">
      <c r="A66" s="288" t="s">
        <v>594</v>
      </c>
      <c r="B66" s="289"/>
      <c r="C66" s="59"/>
      <c r="E66" s="642"/>
      <c r="F66" s="643"/>
      <c r="G66" s="112"/>
    </row>
    <row r="67" spans="1:7" s="25" customFormat="1" ht="17.25">
      <c r="A67" s="288" t="s">
        <v>595</v>
      </c>
      <c r="B67" s="289"/>
      <c r="C67" s="59"/>
      <c r="E67" s="642"/>
      <c r="F67" s="643"/>
      <c r="G67" s="112"/>
    </row>
    <row r="68" spans="1:7" s="25" customFormat="1" ht="15.75">
      <c r="A68" s="644" t="s">
        <v>596</v>
      </c>
      <c r="B68" s="289"/>
      <c r="C68" s="59"/>
      <c r="E68" s="642"/>
      <c r="F68" s="643"/>
      <c r="G68" s="112"/>
    </row>
    <row r="69" spans="1:7" s="25" customFormat="1" ht="15.75">
      <c r="A69" s="288" t="s">
        <v>597</v>
      </c>
      <c r="B69" s="289"/>
      <c r="C69" s="59"/>
      <c r="E69" s="642"/>
      <c r="F69" s="643"/>
      <c r="G69" s="112"/>
    </row>
    <row r="70" spans="1:7" s="25" customFormat="1" ht="15.75">
      <c r="A70" s="288" t="s">
        <v>792</v>
      </c>
      <c r="B70" s="289"/>
      <c r="C70" s="59"/>
      <c r="E70" s="642"/>
      <c r="F70" s="643"/>
      <c r="G70" s="112"/>
    </row>
    <row r="71" spans="1:7" s="25" customFormat="1" ht="15.75">
      <c r="A71" s="288" t="s">
        <v>793</v>
      </c>
      <c r="B71" s="289"/>
      <c r="C71" s="59"/>
      <c r="E71" s="642"/>
      <c r="F71" s="643"/>
      <c r="G71" s="112"/>
    </row>
    <row r="72" spans="1:7" s="25" customFormat="1" ht="15.75">
      <c r="A72" s="288" t="s">
        <v>794</v>
      </c>
      <c r="B72" s="289"/>
      <c r="C72" s="59"/>
      <c r="E72" s="642"/>
      <c r="F72" s="643"/>
      <c r="G72" s="112"/>
    </row>
    <row r="73" spans="1:7" s="25" customFormat="1" ht="15.75">
      <c r="A73" s="59"/>
      <c r="B73" s="59" t="s">
        <v>20</v>
      </c>
      <c r="C73" s="59"/>
      <c r="D73" s="59"/>
      <c r="E73" s="59"/>
      <c r="F73" s="59"/>
      <c r="G73" s="59"/>
    </row>
    <row r="74" spans="1:7" s="25" customFormat="1" ht="15.75">
      <c r="A74" s="645"/>
      <c r="B74" s="645"/>
      <c r="C74" s="645"/>
      <c r="D74" s="645"/>
      <c r="E74" s="645"/>
      <c r="F74" s="645"/>
      <c r="G74" s="645"/>
    </row>
    <row r="75" spans="1:7" s="25" customFormat="1" ht="15.75">
      <c r="A75" s="645"/>
      <c r="B75" s="645"/>
      <c r="C75" s="645"/>
      <c r="D75" s="645"/>
      <c r="E75" s="645"/>
      <c r="F75" s="645"/>
      <c r="G75" s="645"/>
    </row>
    <row r="76" spans="1:7" s="25" customFormat="1" ht="15.75">
      <c r="A76" s="645"/>
      <c r="B76" s="645"/>
      <c r="C76" s="645"/>
      <c r="D76" s="645"/>
      <c r="E76" s="645"/>
      <c r="F76" s="645"/>
      <c r="G76" s="645"/>
    </row>
    <row r="77" spans="1:7" s="25" customFormat="1" ht="15.75">
      <c r="A77" s="645"/>
      <c r="B77" s="645"/>
      <c r="C77" s="645"/>
      <c r="D77" s="645"/>
      <c r="E77" s="645"/>
      <c r="F77" s="645"/>
      <c r="G77" s="645"/>
    </row>
    <row r="78" spans="1:7" s="25" customFormat="1" ht="15.75">
      <c r="A78" s="645"/>
      <c r="B78" s="645"/>
      <c r="C78" s="645"/>
      <c r="D78" s="645"/>
      <c r="E78" s="645"/>
      <c r="F78" s="645"/>
      <c r="G78" s="645"/>
    </row>
    <row r="79" spans="1:7" s="25" customFormat="1" ht="15.75">
      <c r="A79" s="645"/>
      <c r="B79" s="645"/>
      <c r="C79" s="645"/>
      <c r="D79" s="645"/>
      <c r="E79" s="645"/>
      <c r="F79" s="645"/>
      <c r="G79" s="645"/>
    </row>
    <row r="80" spans="1:7" s="25" customFormat="1" ht="15.75">
      <c r="A80" s="645"/>
      <c r="B80" s="645"/>
      <c r="C80" s="645"/>
      <c r="D80" s="645"/>
      <c r="E80" s="645"/>
      <c r="F80" s="645"/>
      <c r="G80" s="645"/>
    </row>
    <row r="81" spans="1:8" s="25" customFormat="1" ht="15.75">
      <c r="A81" s="645"/>
      <c r="B81" s="645"/>
      <c r="C81" s="645"/>
      <c r="D81" s="645"/>
      <c r="E81" s="645"/>
      <c r="F81" s="645"/>
      <c r="G81" s="645"/>
    </row>
    <row r="82" spans="1:8" s="25" customFormat="1" ht="15.75">
      <c r="A82" s="645"/>
      <c r="B82" s="645"/>
      <c r="C82" s="645"/>
      <c r="D82" s="645"/>
      <c r="E82" s="645"/>
      <c r="F82" s="645"/>
      <c r="G82" s="645"/>
    </row>
    <row r="83" spans="1:8" s="25" customFormat="1" ht="15.75">
      <c r="A83" s="645"/>
      <c r="B83" s="645"/>
      <c r="C83" s="645"/>
      <c r="D83" s="645"/>
      <c r="E83" s="645"/>
      <c r="F83" s="645"/>
      <c r="G83" s="645"/>
    </row>
    <row r="84" spans="1:8" s="25" customFormat="1" ht="15.75">
      <c r="A84" s="645"/>
      <c r="B84" s="645"/>
      <c r="C84" s="645"/>
      <c r="D84" s="645"/>
      <c r="E84" s="645"/>
      <c r="F84" s="645"/>
      <c r="G84" s="645"/>
    </row>
    <row r="85" spans="1:8" s="25" customFormat="1" ht="15.75">
      <c r="A85" s="645"/>
      <c r="B85" s="645"/>
      <c r="C85" s="645"/>
      <c r="D85" s="645"/>
      <c r="E85" s="645"/>
      <c r="F85" s="645"/>
      <c r="G85" s="645"/>
    </row>
    <row r="86" spans="1:8" s="25" customFormat="1" ht="15.75">
      <c r="A86" s="645"/>
      <c r="B86" s="645"/>
      <c r="C86" s="645"/>
      <c r="D86" s="645"/>
      <c r="E86" s="645"/>
      <c r="F86" s="645"/>
      <c r="G86" s="645"/>
    </row>
    <row r="87" spans="1:8" s="25" customFormat="1" ht="15.75">
      <c r="A87" s="645"/>
      <c r="B87" s="645"/>
      <c r="C87" s="645"/>
      <c r="D87" s="645"/>
      <c r="E87" s="645"/>
      <c r="F87" s="645"/>
      <c r="G87" s="645"/>
    </row>
    <row r="88" spans="1:8" s="25" customFormat="1" ht="15.75">
      <c r="A88" s="59"/>
      <c r="B88" s="646" t="s">
        <v>2418</v>
      </c>
      <c r="C88" s="646"/>
      <c r="D88" s="646"/>
      <c r="E88" s="646"/>
      <c r="F88" s="646"/>
      <c r="G88" s="646"/>
    </row>
    <row r="89" spans="1:8" s="25" customFormat="1" ht="15.75">
      <c r="A89" s="59"/>
      <c r="B89" s="391"/>
      <c r="C89" s="391"/>
      <c r="D89" s="391"/>
      <c r="E89" s="391"/>
      <c r="F89" s="391"/>
      <c r="G89" s="391"/>
    </row>
    <row r="90" spans="1:8" s="25" customFormat="1" ht="15.75">
      <c r="A90" s="59"/>
      <c r="B90" s="646" t="s">
        <v>22</v>
      </c>
      <c r="C90" s="646"/>
      <c r="D90" s="646"/>
      <c r="E90" s="646"/>
      <c r="F90" s="646"/>
      <c r="G90" s="646"/>
    </row>
    <row r="91" spans="1:8" s="25" customFormat="1" ht="15.75">
      <c r="A91" s="59"/>
      <c r="B91" s="391"/>
      <c r="C91" s="391"/>
      <c r="D91" s="391"/>
      <c r="E91" s="391"/>
      <c r="F91" s="391"/>
      <c r="G91" s="391"/>
    </row>
    <row r="92" spans="1:8" s="25" customFormat="1" ht="15.75">
      <c r="A92" s="59"/>
      <c r="B92" s="646" t="s">
        <v>23</v>
      </c>
      <c r="C92" s="646"/>
      <c r="D92" s="646"/>
      <c r="E92" s="646"/>
      <c r="F92" s="646"/>
      <c r="G92" s="646"/>
    </row>
    <row r="93" spans="1:8" s="25" customFormat="1" ht="15.75">
      <c r="A93" s="59"/>
      <c r="B93" s="646" t="s">
        <v>24</v>
      </c>
      <c r="C93" s="646"/>
      <c r="D93" s="646"/>
      <c r="E93" s="646"/>
      <c r="F93" s="646"/>
      <c r="G93" s="646"/>
    </row>
    <row r="94" spans="1:8" s="25" customFormat="1" ht="15.75">
      <c r="A94" s="289"/>
      <c r="B94" s="289"/>
      <c r="E94" s="332"/>
    </row>
    <row r="95" spans="1:8" s="1041" customFormat="1" ht="15.75">
      <c r="B95" s="1042"/>
      <c r="C95" s="1043"/>
      <c r="D95" s="1044"/>
      <c r="E95" s="25"/>
      <c r="F95" s="1045"/>
      <c r="H95" s="1043"/>
    </row>
    <row r="96" spans="1:8" s="1041" customFormat="1" ht="15.75">
      <c r="B96" s="1042"/>
      <c r="C96" s="1043"/>
      <c r="D96" s="1044"/>
      <c r="E96" s="25"/>
      <c r="F96" s="1045"/>
      <c r="H96" s="1043"/>
    </row>
  </sheetData>
  <mergeCells count="29">
    <mergeCell ref="A51:A57"/>
    <mergeCell ref="B51:B57"/>
    <mergeCell ref="C51:C57"/>
    <mergeCell ref="A59:E59"/>
    <mergeCell ref="A43:A45"/>
    <mergeCell ref="B43:B45"/>
    <mergeCell ref="C43:C45"/>
    <mergeCell ref="A46:A50"/>
    <mergeCell ref="B46:B50"/>
    <mergeCell ref="C46:C50"/>
    <mergeCell ref="A21:A28"/>
    <mergeCell ref="B21:B28"/>
    <mergeCell ref="C21:C28"/>
    <mergeCell ref="A29:A42"/>
    <mergeCell ref="B29:B42"/>
    <mergeCell ref="C29:C42"/>
    <mergeCell ref="A13:A16"/>
    <mergeCell ref="B13:B16"/>
    <mergeCell ref="C13:C16"/>
    <mergeCell ref="A17:A20"/>
    <mergeCell ref="B17:B20"/>
    <mergeCell ref="C17:C20"/>
    <mergeCell ref="A2:G2"/>
    <mergeCell ref="A4:A8"/>
    <mergeCell ref="B4:B8"/>
    <mergeCell ref="C4:C8"/>
    <mergeCell ref="A9:A12"/>
    <mergeCell ref="B9:B12"/>
    <mergeCell ref="C9:C12"/>
  </mergeCells>
  <phoneticPr fontId="4" type="noConversion"/>
  <pageMargins left="0.7" right="0.7" top="0.75" bottom="0.75" header="0.3" footer="0.3"/>
  <pageSetup paperSize="9" scale="60" orientation="portrait" r:id="rId1"/>
</worksheet>
</file>

<file path=xl/worksheets/sheet39.xml><?xml version="1.0" encoding="utf-8"?>
<worksheet xmlns="http://schemas.openxmlformats.org/spreadsheetml/2006/main" xmlns:r="http://schemas.openxmlformats.org/officeDocument/2006/relationships">
  <dimension ref="A1:G60"/>
  <sheetViews>
    <sheetView workbookViewId="0">
      <selection activeCell="F5" sqref="F5"/>
    </sheetView>
  </sheetViews>
  <sheetFormatPr defaultRowHeight="15.75"/>
  <cols>
    <col min="1" max="1" width="7" style="252" bestFit="1" customWidth="1"/>
    <col min="2" max="2" width="20.85546875" style="267" customWidth="1"/>
    <col min="3" max="3" width="13.28515625" style="252" customWidth="1"/>
    <col min="4" max="4" width="40.42578125" style="266" customWidth="1"/>
    <col min="5" max="5" width="16.42578125" style="268" customWidth="1"/>
    <col min="6" max="6" width="17.7109375" style="266" customWidth="1"/>
    <col min="7" max="7" width="13.5703125" style="266" bestFit="1" customWidth="1"/>
    <col min="8" max="16384" width="9.140625" style="266"/>
  </cols>
  <sheetData>
    <row r="1" spans="1:7" ht="15.75" customHeight="1">
      <c r="A1" s="1351" t="s">
        <v>446</v>
      </c>
      <c r="B1" s="1351"/>
      <c r="C1" s="1351"/>
      <c r="D1" s="1351"/>
      <c r="E1" s="1351"/>
      <c r="F1" s="1351"/>
      <c r="G1" s="1351"/>
    </row>
    <row r="2" spans="1:7" ht="61.5" customHeight="1">
      <c r="A2" s="1351" t="s">
        <v>1610</v>
      </c>
      <c r="B2" s="1351"/>
      <c r="C2" s="1351"/>
      <c r="D2" s="1351"/>
      <c r="E2" s="1351"/>
      <c r="F2" s="1351"/>
      <c r="G2" s="1351"/>
    </row>
    <row r="4" spans="1:7" ht="47.25" customHeight="1">
      <c r="A4" s="257" t="s">
        <v>434</v>
      </c>
      <c r="B4" s="257" t="s">
        <v>338</v>
      </c>
      <c r="C4" s="257" t="s">
        <v>771</v>
      </c>
      <c r="D4" s="257" t="s">
        <v>333</v>
      </c>
      <c r="E4" s="93" t="s">
        <v>337</v>
      </c>
      <c r="F4" s="257" t="s">
        <v>770</v>
      </c>
      <c r="G4" s="257" t="s">
        <v>82</v>
      </c>
    </row>
    <row r="5" spans="1:7" ht="63">
      <c r="A5" s="258">
        <v>2</v>
      </c>
      <c r="B5" s="259" t="s">
        <v>833</v>
      </c>
      <c r="C5" s="260"/>
      <c r="D5" s="270" t="s">
        <v>605</v>
      </c>
      <c r="E5" s="4">
        <v>0.1</v>
      </c>
      <c r="F5" s="4"/>
      <c r="G5" s="17">
        <f t="shared" ref="G5:G15" si="0">F5*E5</f>
        <v>0</v>
      </c>
    </row>
    <row r="6" spans="1:7" ht="31.5">
      <c r="A6" s="258"/>
      <c r="B6" s="259"/>
      <c r="C6" s="260"/>
      <c r="D6" s="270" t="s">
        <v>606</v>
      </c>
      <c r="E6" s="4">
        <v>0.2</v>
      </c>
      <c r="F6" s="4"/>
      <c r="G6" s="17">
        <f t="shared" si="0"/>
        <v>0</v>
      </c>
    </row>
    <row r="7" spans="1:7" ht="31.5">
      <c r="A7" s="258"/>
      <c r="B7" s="259"/>
      <c r="C7" s="260"/>
      <c r="D7" s="261" t="s">
        <v>607</v>
      </c>
      <c r="E7" s="4">
        <v>0.1</v>
      </c>
      <c r="F7" s="4"/>
      <c r="G7" s="17">
        <f t="shared" si="0"/>
        <v>0</v>
      </c>
    </row>
    <row r="8" spans="1:7" ht="63">
      <c r="A8" s="258"/>
      <c r="B8" s="259"/>
      <c r="C8" s="260"/>
      <c r="D8" s="261" t="s">
        <v>608</v>
      </c>
      <c r="E8" s="4">
        <v>0.1</v>
      </c>
      <c r="F8" s="4"/>
      <c r="G8" s="17">
        <f t="shared" si="0"/>
        <v>0</v>
      </c>
    </row>
    <row r="9" spans="1:7" ht="31.5">
      <c r="A9" s="258"/>
      <c r="B9" s="259"/>
      <c r="C9" s="260"/>
      <c r="D9" s="261" t="s">
        <v>609</v>
      </c>
      <c r="E9" s="4">
        <v>0.2</v>
      </c>
      <c r="F9" s="4"/>
      <c r="G9" s="17">
        <f t="shared" si="0"/>
        <v>0</v>
      </c>
    </row>
    <row r="10" spans="1:7" ht="31.5">
      <c r="A10" s="258"/>
      <c r="B10" s="259"/>
      <c r="C10" s="260"/>
      <c r="D10" s="271" t="s">
        <v>610</v>
      </c>
      <c r="E10" s="245">
        <v>0.1</v>
      </c>
      <c r="F10" s="4"/>
      <c r="G10" s="17">
        <f t="shared" si="0"/>
        <v>0</v>
      </c>
    </row>
    <row r="11" spans="1:7" ht="16.5" customHeight="1">
      <c r="A11" s="258"/>
      <c r="B11" s="259"/>
      <c r="C11" s="260"/>
      <c r="D11" s="261" t="s">
        <v>611</v>
      </c>
      <c r="E11" s="4">
        <v>0.2</v>
      </c>
      <c r="F11" s="4"/>
      <c r="G11" s="17">
        <f t="shared" si="0"/>
        <v>0</v>
      </c>
    </row>
    <row r="12" spans="1:7">
      <c r="A12" s="249"/>
      <c r="B12" s="44" t="s">
        <v>848</v>
      </c>
      <c r="C12" s="249">
        <v>0.25</v>
      </c>
      <c r="D12" s="33"/>
      <c r="E12" s="34">
        <f>SUM(E5:E11)</f>
        <v>1</v>
      </c>
      <c r="F12" s="34" t="s">
        <v>47</v>
      </c>
      <c r="G12" s="34">
        <f>SUM(G5:G11)*C12</f>
        <v>0</v>
      </c>
    </row>
    <row r="13" spans="1:7" ht="173.25">
      <c r="A13" s="258">
        <v>3</v>
      </c>
      <c r="B13" s="259" t="s">
        <v>622</v>
      </c>
      <c r="C13" s="260"/>
      <c r="D13" s="261" t="s">
        <v>612</v>
      </c>
      <c r="E13" s="4">
        <v>0.2</v>
      </c>
      <c r="F13" s="4"/>
      <c r="G13" s="17">
        <f t="shared" si="0"/>
        <v>0</v>
      </c>
    </row>
    <row r="14" spans="1:7" ht="47.25">
      <c r="A14" s="258"/>
      <c r="B14" s="259"/>
      <c r="C14" s="260"/>
      <c r="D14" s="270" t="s">
        <v>613</v>
      </c>
      <c r="E14" s="4">
        <v>0.3</v>
      </c>
      <c r="F14" s="4"/>
      <c r="G14" s="17">
        <f t="shared" si="0"/>
        <v>0</v>
      </c>
    </row>
    <row r="15" spans="1:7" ht="126">
      <c r="A15" s="258"/>
      <c r="B15" s="259"/>
      <c r="C15" s="260"/>
      <c r="D15" s="261" t="s">
        <v>614</v>
      </c>
      <c r="E15" s="4">
        <v>0.5</v>
      </c>
      <c r="F15" s="4"/>
      <c r="G15" s="17">
        <f t="shared" si="0"/>
        <v>0</v>
      </c>
    </row>
    <row r="16" spans="1:7">
      <c r="A16" s="249"/>
      <c r="B16" s="44" t="s">
        <v>848</v>
      </c>
      <c r="C16" s="249">
        <v>0.5</v>
      </c>
      <c r="D16" s="33"/>
      <c r="E16" s="34">
        <f>SUM(E13:E15)</f>
        <v>1</v>
      </c>
      <c r="F16" s="34" t="s">
        <v>48</v>
      </c>
      <c r="G16" s="34">
        <f>SUM(G13:G15)*C16</f>
        <v>0</v>
      </c>
    </row>
    <row r="17" spans="1:7" ht="141.75">
      <c r="A17" s="258">
        <v>4</v>
      </c>
      <c r="B17" s="259" t="s">
        <v>623</v>
      </c>
      <c r="C17" s="260"/>
      <c r="D17" s="270" t="s">
        <v>615</v>
      </c>
      <c r="E17" s="4">
        <v>0.1</v>
      </c>
      <c r="F17" s="4"/>
      <c r="G17" s="17">
        <f t="shared" ref="G17:G22" si="1">F17*E17</f>
        <v>0</v>
      </c>
    </row>
    <row r="18" spans="1:7" ht="48" customHeight="1">
      <c r="A18" s="258"/>
      <c r="B18" s="259"/>
      <c r="C18" s="260"/>
      <c r="D18" s="270" t="s">
        <v>616</v>
      </c>
      <c r="E18" s="4">
        <v>0.1</v>
      </c>
      <c r="F18" s="4"/>
      <c r="G18" s="17">
        <f t="shared" si="1"/>
        <v>0</v>
      </c>
    </row>
    <row r="19" spans="1:7" ht="48" customHeight="1">
      <c r="A19" s="258"/>
      <c r="B19" s="259"/>
      <c r="C19" s="260"/>
      <c r="D19" s="270" t="s">
        <v>617</v>
      </c>
      <c r="E19" s="4">
        <v>0.15</v>
      </c>
      <c r="F19" s="4"/>
      <c r="G19" s="17">
        <f t="shared" si="1"/>
        <v>0</v>
      </c>
    </row>
    <row r="20" spans="1:7" ht="48" customHeight="1">
      <c r="A20" s="258"/>
      <c r="B20" s="259"/>
      <c r="C20" s="260"/>
      <c r="D20" s="261" t="s">
        <v>618</v>
      </c>
      <c r="E20" s="4">
        <v>0.2</v>
      </c>
      <c r="F20" s="4"/>
      <c r="G20" s="17">
        <f t="shared" si="1"/>
        <v>0</v>
      </c>
    </row>
    <row r="21" spans="1:7" ht="48" customHeight="1">
      <c r="A21" s="258"/>
      <c r="B21" s="259"/>
      <c r="C21" s="260"/>
      <c r="D21" s="261" t="s">
        <v>619</v>
      </c>
      <c r="E21" s="4">
        <v>0.2</v>
      </c>
      <c r="F21" s="4"/>
      <c r="G21" s="17">
        <f t="shared" si="1"/>
        <v>0</v>
      </c>
    </row>
    <row r="22" spans="1:7" ht="78.75">
      <c r="A22" s="258"/>
      <c r="B22" s="259"/>
      <c r="C22" s="260"/>
      <c r="D22" s="261" t="s">
        <v>620</v>
      </c>
      <c r="E22" s="4">
        <v>0.25</v>
      </c>
      <c r="F22" s="4"/>
      <c r="G22" s="17">
        <f t="shared" si="1"/>
        <v>0</v>
      </c>
    </row>
    <row r="23" spans="1:7">
      <c r="A23" s="249"/>
      <c r="B23" s="44" t="s">
        <v>848</v>
      </c>
      <c r="C23" s="249">
        <v>0.25</v>
      </c>
      <c r="D23" s="33"/>
      <c r="E23" s="34">
        <f>SUM(E17:E22)</f>
        <v>1</v>
      </c>
      <c r="F23" s="34" t="s">
        <v>49</v>
      </c>
      <c r="G23" s="34">
        <f>SUM(G17:G22)*C23</f>
        <v>0</v>
      </c>
    </row>
    <row r="24" spans="1:7">
      <c r="A24" s="262"/>
      <c r="B24" s="263" t="s">
        <v>443</v>
      </c>
      <c r="C24" s="262">
        <f>SUM(C12+C16+C23)</f>
        <v>1</v>
      </c>
      <c r="D24" s="264"/>
      <c r="E24" s="265">
        <v>4</v>
      </c>
      <c r="F24" s="264"/>
      <c r="G24" s="684">
        <f>SUM(G12+G16+G23)</f>
        <v>0</v>
      </c>
    </row>
    <row r="25" spans="1:7" ht="14.25" customHeight="1">
      <c r="A25" s="258"/>
      <c r="B25" s="24" t="s">
        <v>444</v>
      </c>
      <c r="C25" s="95"/>
      <c r="D25" s="13"/>
      <c r="E25" s="17"/>
      <c r="F25" s="4"/>
      <c r="G25" s="21" t="str">
        <f>IF(G24&lt;=0.5,"низький",IF(G24&lt;=0.75,"середній",(IF(G24&lt;=0.95,"достатній",(IF(G24&lt;=1,"високий"))))))</f>
        <v>низький</v>
      </c>
    </row>
    <row r="26" spans="1:7" s="302" customFormat="1">
      <c r="A26" s="288" t="s">
        <v>182</v>
      </c>
      <c r="B26" s="289"/>
      <c r="C26" s="342"/>
      <c r="E26" s="343"/>
      <c r="F26" s="344"/>
      <c r="G26" s="112"/>
    </row>
    <row r="27" spans="1:7" s="302" customFormat="1" ht="17.25">
      <c r="A27" s="345" t="s">
        <v>589</v>
      </c>
      <c r="B27" s="346"/>
      <c r="C27" s="347"/>
      <c r="D27" s="303"/>
      <c r="E27" s="348"/>
      <c r="F27" s="349"/>
      <c r="G27" s="112"/>
    </row>
    <row r="28" spans="1:7" s="302" customFormat="1" ht="17.25">
      <c r="A28" s="345" t="s">
        <v>590</v>
      </c>
      <c r="B28" s="346"/>
      <c r="C28" s="347"/>
      <c r="D28" s="303"/>
      <c r="E28" s="348"/>
      <c r="F28" s="349"/>
      <c r="G28" s="112"/>
    </row>
    <row r="29" spans="1:7" s="302" customFormat="1" ht="17.25">
      <c r="A29" s="345" t="s">
        <v>591</v>
      </c>
      <c r="B29" s="346"/>
      <c r="C29" s="347"/>
      <c r="D29" s="303"/>
      <c r="E29" s="348"/>
      <c r="F29" s="349"/>
      <c r="G29" s="112"/>
    </row>
    <row r="30" spans="1:7" s="302" customFormat="1" ht="17.25">
      <c r="A30" s="345" t="s">
        <v>592</v>
      </c>
      <c r="B30" s="346"/>
      <c r="C30" s="347"/>
      <c r="D30" s="303"/>
      <c r="E30" s="348"/>
      <c r="F30" s="349"/>
      <c r="G30" s="112"/>
    </row>
    <row r="31" spans="1:7" s="302" customFormat="1" ht="17.25">
      <c r="A31" s="345" t="s">
        <v>593</v>
      </c>
      <c r="B31" s="346"/>
      <c r="C31" s="347"/>
      <c r="D31" s="303"/>
      <c r="E31" s="348"/>
      <c r="F31" s="349"/>
      <c r="G31" s="112"/>
    </row>
    <row r="32" spans="1:7" s="302" customFormat="1" ht="17.25">
      <c r="A32" s="345" t="s">
        <v>594</v>
      </c>
      <c r="B32" s="346"/>
      <c r="C32" s="347"/>
      <c r="D32" s="303"/>
      <c r="E32" s="348"/>
      <c r="F32" s="349"/>
      <c r="G32" s="112"/>
    </row>
    <row r="33" spans="1:7" s="302" customFormat="1" ht="17.25">
      <c r="A33" s="345" t="s">
        <v>595</v>
      </c>
      <c r="B33" s="346"/>
      <c r="C33" s="347"/>
      <c r="D33" s="303"/>
      <c r="E33" s="348"/>
      <c r="F33" s="349"/>
      <c r="G33" s="112"/>
    </row>
    <row r="34" spans="1:7" s="302" customFormat="1">
      <c r="A34" s="350" t="s">
        <v>596</v>
      </c>
      <c r="B34" s="346"/>
      <c r="C34" s="347"/>
      <c r="D34" s="303"/>
      <c r="E34" s="348"/>
      <c r="F34" s="349"/>
      <c r="G34" s="112"/>
    </row>
    <row r="35" spans="1:7" s="302" customFormat="1">
      <c r="A35" s="345" t="s">
        <v>597</v>
      </c>
      <c r="B35" s="346"/>
      <c r="C35" s="347"/>
      <c r="D35" s="303"/>
      <c r="E35" s="348"/>
      <c r="F35" s="349"/>
      <c r="G35" s="112"/>
    </row>
    <row r="36" spans="1:7" s="302" customFormat="1">
      <c r="A36" s="288" t="s">
        <v>792</v>
      </c>
      <c r="B36" s="346"/>
      <c r="C36" s="347"/>
      <c r="D36" s="303"/>
      <c r="E36" s="348"/>
      <c r="F36" s="349"/>
      <c r="G36" s="112"/>
    </row>
    <row r="37" spans="1:7" s="302" customFormat="1">
      <c r="A37" s="288" t="s">
        <v>793</v>
      </c>
      <c r="B37" s="346"/>
      <c r="C37" s="347"/>
      <c r="D37" s="303"/>
      <c r="E37" s="348"/>
      <c r="F37" s="349"/>
      <c r="G37" s="112"/>
    </row>
    <row r="38" spans="1:7" s="302" customFormat="1">
      <c r="A38" s="288" t="s">
        <v>794</v>
      </c>
      <c r="B38" s="346"/>
      <c r="C38" s="347"/>
      <c r="D38" s="303"/>
      <c r="E38" s="348"/>
      <c r="F38" s="349"/>
      <c r="G38" s="112"/>
    </row>
    <row r="39" spans="1:7" s="302" customFormat="1">
      <c r="A39" s="342"/>
      <c r="B39" s="342" t="s">
        <v>20</v>
      </c>
      <c r="C39" s="342"/>
      <c r="D39" s="342"/>
      <c r="E39" s="342"/>
      <c r="F39" s="342"/>
      <c r="G39" s="342"/>
    </row>
    <row r="40" spans="1:7" s="302" customFormat="1">
      <c r="A40" s="351"/>
      <c r="B40" s="351"/>
      <c r="C40" s="351"/>
      <c r="D40" s="351"/>
      <c r="E40" s="351"/>
      <c r="F40" s="351"/>
      <c r="G40" s="351"/>
    </row>
    <row r="41" spans="1:7" s="302" customFormat="1">
      <c r="A41" s="351"/>
      <c r="B41" s="351"/>
      <c r="C41" s="351"/>
      <c r="D41" s="351"/>
      <c r="E41" s="351"/>
      <c r="F41" s="351"/>
      <c r="G41" s="351"/>
    </row>
    <row r="42" spans="1:7" s="302" customFormat="1">
      <c r="A42" s="351"/>
      <c r="B42" s="351"/>
      <c r="C42" s="351"/>
      <c r="D42" s="351"/>
      <c r="E42" s="351"/>
      <c r="F42" s="351"/>
      <c r="G42" s="351"/>
    </row>
    <row r="43" spans="1:7" s="302" customFormat="1">
      <c r="A43" s="351"/>
      <c r="B43" s="351"/>
      <c r="C43" s="351"/>
      <c r="D43" s="351"/>
      <c r="E43" s="351"/>
      <c r="F43" s="351"/>
      <c r="G43" s="351"/>
    </row>
    <row r="44" spans="1:7" s="302" customFormat="1">
      <c r="A44" s="351"/>
      <c r="B44" s="351"/>
      <c r="C44" s="351"/>
      <c r="D44" s="351"/>
      <c r="E44" s="351"/>
      <c r="F44" s="351"/>
      <c r="G44" s="351"/>
    </row>
    <row r="45" spans="1:7" s="302" customFormat="1">
      <c r="A45" s="351"/>
      <c r="B45" s="351"/>
      <c r="C45" s="351"/>
      <c r="D45" s="351"/>
      <c r="E45" s="351"/>
      <c r="F45" s="351"/>
      <c r="G45" s="351"/>
    </row>
    <row r="46" spans="1:7" s="302" customFormat="1">
      <c r="A46" s="351"/>
      <c r="B46" s="351"/>
      <c r="C46" s="351"/>
      <c r="D46" s="351"/>
      <c r="E46" s="351"/>
      <c r="F46" s="351"/>
      <c r="G46" s="351"/>
    </row>
    <row r="47" spans="1:7" s="302" customFormat="1">
      <c r="A47" s="351"/>
      <c r="B47" s="351"/>
      <c r="C47" s="351"/>
      <c r="D47" s="351"/>
      <c r="E47" s="351"/>
      <c r="F47" s="351"/>
      <c r="G47" s="351"/>
    </row>
    <row r="48" spans="1:7" s="302" customFormat="1">
      <c r="A48" s="351"/>
      <c r="B48" s="351"/>
      <c r="C48" s="351"/>
      <c r="D48" s="351"/>
      <c r="E48" s="351"/>
      <c r="F48" s="351"/>
      <c r="G48" s="351"/>
    </row>
    <row r="49" spans="1:7" s="302" customFormat="1">
      <c r="A49" s="351"/>
      <c r="B49" s="351"/>
      <c r="C49" s="351"/>
      <c r="D49" s="351"/>
      <c r="E49" s="351"/>
      <c r="F49" s="351"/>
      <c r="G49" s="351"/>
    </row>
    <row r="50" spans="1:7" s="302" customFormat="1">
      <c r="A50" s="351"/>
      <c r="B50" s="351"/>
      <c r="C50" s="351"/>
      <c r="D50" s="351"/>
      <c r="E50" s="351"/>
      <c r="F50" s="351"/>
      <c r="G50" s="351"/>
    </row>
    <row r="51" spans="1:7" s="302" customFormat="1">
      <c r="A51" s="351"/>
      <c r="B51" s="351"/>
      <c r="C51" s="351"/>
      <c r="D51" s="351"/>
      <c r="E51" s="351"/>
      <c r="F51" s="351"/>
      <c r="G51" s="351"/>
    </row>
    <row r="52" spans="1:7" s="302" customFormat="1">
      <c r="A52" s="351"/>
      <c r="B52" s="351"/>
      <c r="C52" s="351"/>
      <c r="D52" s="351"/>
      <c r="E52" s="351"/>
      <c r="F52" s="351"/>
      <c r="G52" s="351"/>
    </row>
    <row r="53" spans="1:7" s="302" customFormat="1">
      <c r="A53" s="351"/>
      <c r="B53" s="351"/>
      <c r="C53" s="351"/>
      <c r="D53" s="351"/>
      <c r="E53" s="351"/>
      <c r="F53" s="351"/>
      <c r="G53" s="351"/>
    </row>
    <row r="54" spans="1:7" s="302" customFormat="1">
      <c r="A54" s="342"/>
      <c r="B54" s="352" t="s">
        <v>2418</v>
      </c>
      <c r="C54" s="352"/>
      <c r="D54" s="352"/>
      <c r="E54" s="352"/>
      <c r="F54" s="352"/>
      <c r="G54" s="352"/>
    </row>
    <row r="55" spans="1:7" s="302" customFormat="1">
      <c r="A55" s="342"/>
      <c r="B55" s="353"/>
      <c r="C55" s="353"/>
      <c r="D55" s="353"/>
      <c r="E55" s="353"/>
      <c r="F55" s="353"/>
      <c r="G55" s="353"/>
    </row>
    <row r="56" spans="1:7" s="302" customFormat="1">
      <c r="A56" s="342"/>
      <c r="B56" s="352" t="s">
        <v>22</v>
      </c>
      <c r="C56" s="352"/>
      <c r="D56" s="352"/>
      <c r="E56" s="352"/>
      <c r="F56" s="352"/>
      <c r="G56" s="352"/>
    </row>
    <row r="57" spans="1:7" s="302" customFormat="1">
      <c r="A57" s="342"/>
      <c r="B57" s="353"/>
      <c r="C57" s="353"/>
      <c r="D57" s="353"/>
      <c r="E57" s="353"/>
      <c r="F57" s="353"/>
      <c r="G57" s="353"/>
    </row>
    <row r="58" spans="1:7" s="302" customFormat="1">
      <c r="A58" s="342"/>
      <c r="B58" s="352" t="s">
        <v>23</v>
      </c>
      <c r="C58" s="352"/>
      <c r="D58" s="352"/>
      <c r="E58" s="352"/>
      <c r="F58" s="352"/>
      <c r="G58" s="352"/>
    </row>
    <row r="59" spans="1:7" s="302" customFormat="1">
      <c r="A59" s="342"/>
      <c r="B59" s="352" t="s">
        <v>24</v>
      </c>
      <c r="C59" s="352"/>
      <c r="D59" s="352"/>
      <c r="E59" s="352"/>
      <c r="F59" s="352"/>
      <c r="G59" s="352"/>
    </row>
    <row r="60" spans="1:7" s="303" customFormat="1">
      <c r="A60" s="346"/>
      <c r="B60" s="346"/>
      <c r="E60" s="333"/>
    </row>
  </sheetData>
  <mergeCells count="2">
    <mergeCell ref="A1:G1"/>
    <mergeCell ref="A2:G2"/>
  </mergeCells>
  <phoneticPr fontId="4" type="noConversion"/>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dimension ref="A1:J147"/>
  <sheetViews>
    <sheetView zoomScaleNormal="100" workbookViewId="0">
      <selection activeCell="C3" sqref="C3"/>
    </sheetView>
  </sheetViews>
  <sheetFormatPr defaultRowHeight="15.75"/>
  <cols>
    <col min="1" max="1" width="7" style="81" bestFit="1" customWidth="1"/>
    <col min="2" max="2" width="20.85546875" style="115" customWidth="1"/>
    <col min="3" max="3" width="11.5703125" style="289" customWidth="1"/>
    <col min="4" max="4" width="40.42578125" style="25" customWidth="1"/>
    <col min="5" max="5" width="13.85546875" style="63" customWidth="1"/>
    <col min="6" max="6" width="14.5703125" style="101" bestFit="1" customWidth="1"/>
    <col min="7" max="7" width="17.85546875" style="101" customWidth="1"/>
    <col min="8" max="16384" width="9.140625" style="101"/>
  </cols>
  <sheetData>
    <row r="1" spans="1:7">
      <c r="A1" s="1132" t="s">
        <v>446</v>
      </c>
      <c r="B1" s="1132"/>
      <c r="C1" s="1132"/>
      <c r="D1" s="1132"/>
      <c r="E1" s="1132"/>
      <c r="F1" s="1132"/>
      <c r="G1" s="1132"/>
    </row>
    <row r="2" spans="1:7" ht="41.25" customHeight="1">
      <c r="A2" s="1131" t="s">
        <v>797</v>
      </c>
      <c r="B2" s="1132"/>
      <c r="C2" s="1132"/>
      <c r="D2" s="1132"/>
      <c r="E2" s="1132"/>
      <c r="F2" s="1132"/>
      <c r="G2" s="1132"/>
    </row>
    <row r="3" spans="1:7" ht="63">
      <c r="A3" s="5" t="s">
        <v>434</v>
      </c>
      <c r="B3" s="5" t="s">
        <v>338</v>
      </c>
      <c r="C3" s="5" t="s">
        <v>771</v>
      </c>
      <c r="D3" s="5" t="s">
        <v>333</v>
      </c>
      <c r="E3" s="5" t="s">
        <v>337</v>
      </c>
      <c r="F3" s="5" t="s">
        <v>770</v>
      </c>
      <c r="G3" s="5" t="s">
        <v>82</v>
      </c>
    </row>
    <row r="4" spans="1:7" ht="63">
      <c r="A4" s="655">
        <v>1</v>
      </c>
      <c r="B4" s="656" t="s">
        <v>60</v>
      </c>
      <c r="C4" s="655"/>
      <c r="D4" s="282" t="s">
        <v>1075</v>
      </c>
      <c r="E4" s="648">
        <v>0.4</v>
      </c>
      <c r="F4" s="657"/>
      <c r="G4" s="653">
        <f>F4*E4</f>
        <v>0</v>
      </c>
    </row>
    <row r="5" spans="1:7" ht="63">
      <c r="A5" s="655"/>
      <c r="B5" s="655"/>
      <c r="C5" s="655"/>
      <c r="D5" s="283" t="s">
        <v>1593</v>
      </c>
      <c r="E5" s="648">
        <v>0.3</v>
      </c>
      <c r="F5" s="657"/>
      <c r="G5" s="653">
        <f>F5*E5</f>
        <v>0</v>
      </c>
    </row>
    <row r="6" spans="1:7" ht="78.75">
      <c r="A6" s="655"/>
      <c r="B6" s="655"/>
      <c r="C6" s="655"/>
      <c r="D6" s="282" t="s">
        <v>1078</v>
      </c>
      <c r="E6" s="648">
        <v>0.2</v>
      </c>
      <c r="F6" s="657"/>
      <c r="G6" s="653">
        <f>F6*E6</f>
        <v>0</v>
      </c>
    </row>
    <row r="7" spans="1:7" ht="47.25">
      <c r="A7" s="655"/>
      <c r="B7" s="655"/>
      <c r="C7" s="655"/>
      <c r="D7" s="282" t="s">
        <v>1077</v>
      </c>
      <c r="E7" s="648">
        <v>0.1</v>
      </c>
      <c r="F7" s="657"/>
      <c r="G7" s="653">
        <f>F7*E7</f>
        <v>0</v>
      </c>
    </row>
    <row r="8" spans="1:7">
      <c r="A8" s="27"/>
      <c r="B8" s="28" t="s">
        <v>848</v>
      </c>
      <c r="C8" s="27">
        <v>7.0000000000000007E-2</v>
      </c>
      <c r="D8" s="49"/>
      <c r="E8" s="29">
        <f>SUM(E4:E7)</f>
        <v>0.99999999999999989</v>
      </c>
      <c r="F8" s="615" t="s">
        <v>46</v>
      </c>
      <c r="G8" s="29">
        <f>SUM(G4:G7)*C8</f>
        <v>0</v>
      </c>
    </row>
    <row r="9" spans="1:7" ht="63">
      <c r="A9" s="655">
        <v>2</v>
      </c>
      <c r="B9" s="647" t="s">
        <v>445</v>
      </c>
      <c r="C9" s="658"/>
      <c r="D9" s="659" t="s">
        <v>1079</v>
      </c>
      <c r="E9" s="653">
        <v>0.33</v>
      </c>
      <c r="F9" s="660"/>
      <c r="G9" s="653">
        <f>F9*E9</f>
        <v>0</v>
      </c>
    </row>
    <row r="10" spans="1:7" ht="252">
      <c r="A10" s="655"/>
      <c r="B10" s="647"/>
      <c r="C10" s="658"/>
      <c r="D10" s="659" t="s">
        <v>417</v>
      </c>
      <c r="E10" s="653">
        <v>0.67</v>
      </c>
      <c r="F10" s="660"/>
      <c r="G10" s="653">
        <f>F10*E10</f>
        <v>0</v>
      </c>
    </row>
    <row r="11" spans="1:7">
      <c r="A11" s="27"/>
      <c r="B11" s="28" t="s">
        <v>848</v>
      </c>
      <c r="C11" s="27">
        <v>0.04</v>
      </c>
      <c r="D11" s="45"/>
      <c r="E11" s="29">
        <f>SUM(E9:E10)</f>
        <v>1</v>
      </c>
      <c r="F11" s="615" t="s">
        <v>47</v>
      </c>
      <c r="G11" s="29">
        <f>SUM(G9:G10)*C11</f>
        <v>0</v>
      </c>
    </row>
    <row r="12" spans="1:7" ht="37.5" customHeight="1">
      <c r="A12" s="655">
        <v>3</v>
      </c>
      <c r="B12" s="658" t="s">
        <v>62</v>
      </c>
      <c r="C12" s="655"/>
      <c r="D12" s="282" t="s">
        <v>1080</v>
      </c>
      <c r="E12" s="648">
        <v>0.3</v>
      </c>
      <c r="F12" s="660"/>
      <c r="G12" s="653">
        <f>F12*E12</f>
        <v>0</v>
      </c>
    </row>
    <row r="13" spans="1:7" ht="31.5">
      <c r="A13" s="655"/>
      <c r="B13" s="658"/>
      <c r="C13" s="655"/>
      <c r="D13" s="282" t="s">
        <v>1081</v>
      </c>
      <c r="E13" s="648">
        <v>0.2</v>
      </c>
      <c r="F13" s="660"/>
      <c r="G13" s="653">
        <f>F13*E13</f>
        <v>0</v>
      </c>
    </row>
    <row r="14" spans="1:7" ht="31.5">
      <c r="A14" s="655"/>
      <c r="B14" s="658"/>
      <c r="C14" s="655"/>
      <c r="D14" s="282" t="s">
        <v>1082</v>
      </c>
      <c r="E14" s="648">
        <v>0.3</v>
      </c>
      <c r="F14" s="660"/>
      <c r="G14" s="653">
        <f>F14*E14</f>
        <v>0</v>
      </c>
    </row>
    <row r="15" spans="1:7" ht="31.5">
      <c r="A15" s="655"/>
      <c r="B15" s="658"/>
      <c r="C15" s="655"/>
      <c r="D15" s="282" t="s">
        <v>1083</v>
      </c>
      <c r="E15" s="648">
        <v>0.2</v>
      </c>
      <c r="F15" s="660"/>
      <c r="G15" s="653">
        <f>F15*E15</f>
        <v>0</v>
      </c>
    </row>
    <row r="16" spans="1:7">
      <c r="A16" s="27"/>
      <c r="B16" s="28" t="s">
        <v>848</v>
      </c>
      <c r="C16" s="27">
        <v>0.02</v>
      </c>
      <c r="D16" s="32"/>
      <c r="E16" s="29">
        <f>SUM(E12:E15)</f>
        <v>1</v>
      </c>
      <c r="F16" s="615" t="s">
        <v>48</v>
      </c>
      <c r="G16" s="29">
        <f>SUM(G12:G15)*C16</f>
        <v>0</v>
      </c>
    </row>
    <row r="17" spans="1:7" ht="31.5">
      <c r="A17" s="655">
        <v>4</v>
      </c>
      <c r="B17" s="647" t="s">
        <v>63</v>
      </c>
      <c r="C17" s="658"/>
      <c r="D17" s="282" t="s">
        <v>1084</v>
      </c>
      <c r="E17" s="653">
        <v>0.67</v>
      </c>
      <c r="F17" s="660"/>
      <c r="G17" s="653">
        <f>F17*E17</f>
        <v>0</v>
      </c>
    </row>
    <row r="18" spans="1:7" ht="47.25">
      <c r="A18" s="655"/>
      <c r="B18" s="647"/>
      <c r="C18" s="658"/>
      <c r="D18" s="282" t="s">
        <v>1085</v>
      </c>
      <c r="E18" s="653">
        <v>0.33</v>
      </c>
      <c r="F18" s="660"/>
      <c r="G18" s="653">
        <f>F18*E18</f>
        <v>0</v>
      </c>
    </row>
    <row r="19" spans="1:7">
      <c r="A19" s="27"/>
      <c r="B19" s="28" t="s">
        <v>848</v>
      </c>
      <c r="C19" s="27">
        <v>0.03</v>
      </c>
      <c r="D19" s="32"/>
      <c r="E19" s="29">
        <f>SUM(E17:E18)</f>
        <v>1</v>
      </c>
      <c r="F19" s="615" t="s">
        <v>49</v>
      </c>
      <c r="G19" s="29">
        <f>SUM(G17:G18)*C19</f>
        <v>0</v>
      </c>
    </row>
    <row r="20" spans="1:7" ht="31.5">
      <c r="A20" s="655">
        <v>5</v>
      </c>
      <c r="B20" s="647" t="s">
        <v>64</v>
      </c>
      <c r="C20" s="658"/>
      <c r="D20" s="282" t="s">
        <v>1086</v>
      </c>
      <c r="E20" s="653">
        <v>0.13</v>
      </c>
      <c r="F20" s="660"/>
      <c r="G20" s="653">
        <f>F20*E20</f>
        <v>0</v>
      </c>
    </row>
    <row r="21" spans="1:7" ht="31.5">
      <c r="A21" s="655"/>
      <c r="B21" s="647"/>
      <c r="C21" s="658"/>
      <c r="D21" s="282" t="s">
        <v>1084</v>
      </c>
      <c r="E21" s="653">
        <v>0.35</v>
      </c>
      <c r="F21" s="660"/>
      <c r="G21" s="653">
        <f>F21*E21</f>
        <v>0</v>
      </c>
    </row>
    <row r="22" spans="1:7" ht="47.25">
      <c r="A22" s="655"/>
      <c r="B22" s="647"/>
      <c r="C22" s="658"/>
      <c r="D22" s="282" t="s">
        <v>1087</v>
      </c>
      <c r="E22" s="653">
        <v>0.27</v>
      </c>
      <c r="F22" s="660"/>
      <c r="G22" s="653">
        <f>F22*E22</f>
        <v>0</v>
      </c>
    </row>
    <row r="23" spans="1:7" ht="31.5">
      <c r="A23" s="655"/>
      <c r="B23" s="647"/>
      <c r="C23" s="658"/>
      <c r="D23" s="282" t="s">
        <v>1088</v>
      </c>
      <c r="E23" s="653">
        <v>0.18</v>
      </c>
      <c r="F23" s="660"/>
      <c r="G23" s="653">
        <f>F23*E23</f>
        <v>0</v>
      </c>
    </row>
    <row r="24" spans="1:7" ht="47.25">
      <c r="A24" s="655"/>
      <c r="B24" s="647"/>
      <c r="C24" s="658"/>
      <c r="D24" s="282" t="s">
        <v>1089</v>
      </c>
      <c r="E24" s="653">
        <v>7.0000000000000007E-2</v>
      </c>
      <c r="F24" s="660"/>
      <c r="G24" s="653">
        <f>F24*E24</f>
        <v>0</v>
      </c>
    </row>
    <row r="25" spans="1:7">
      <c r="A25" s="27"/>
      <c r="B25" s="28" t="s">
        <v>848</v>
      </c>
      <c r="C25" s="27">
        <v>7.0000000000000007E-2</v>
      </c>
      <c r="D25" s="32"/>
      <c r="E25" s="29">
        <f>SUM(E20:E24)</f>
        <v>1</v>
      </c>
      <c r="F25" s="615" t="s">
        <v>50</v>
      </c>
      <c r="G25" s="29">
        <f>SUM(G20:G24)*C25</f>
        <v>0</v>
      </c>
    </row>
    <row r="26" spans="1:7" ht="63">
      <c r="A26" s="655">
        <v>6</v>
      </c>
      <c r="B26" s="647" t="s">
        <v>45</v>
      </c>
      <c r="C26" s="658"/>
      <c r="D26" s="661" t="s">
        <v>1090</v>
      </c>
      <c r="E26" s="653">
        <v>0.28000000000000003</v>
      </c>
      <c r="F26" s="660"/>
      <c r="G26" s="653">
        <f>F26*E26</f>
        <v>0</v>
      </c>
    </row>
    <row r="27" spans="1:7" ht="110.25">
      <c r="A27" s="655"/>
      <c r="B27" s="647"/>
      <c r="C27" s="658"/>
      <c r="D27" s="282" t="s">
        <v>1091</v>
      </c>
      <c r="E27" s="653">
        <v>0.35</v>
      </c>
      <c r="F27" s="660"/>
      <c r="G27" s="653">
        <f>F27*E27</f>
        <v>0</v>
      </c>
    </row>
    <row r="28" spans="1:7" ht="63">
      <c r="A28" s="655"/>
      <c r="B28" s="647"/>
      <c r="C28" s="658"/>
      <c r="D28" s="282" t="s">
        <v>1092</v>
      </c>
      <c r="E28" s="653">
        <v>0.13</v>
      </c>
      <c r="F28" s="660"/>
      <c r="G28" s="653">
        <f>F28*E28</f>
        <v>0</v>
      </c>
    </row>
    <row r="29" spans="1:7" ht="47.25">
      <c r="A29" s="655"/>
      <c r="B29" s="647"/>
      <c r="C29" s="658"/>
      <c r="D29" s="282" t="s">
        <v>1093</v>
      </c>
      <c r="E29" s="653">
        <v>0.12</v>
      </c>
      <c r="F29" s="660"/>
      <c r="G29" s="653">
        <f>F29*E29</f>
        <v>0</v>
      </c>
    </row>
    <row r="30" spans="1:7" ht="47.25">
      <c r="A30" s="655"/>
      <c r="B30" s="647"/>
      <c r="C30" s="658"/>
      <c r="D30" s="282" t="s">
        <v>1094</v>
      </c>
      <c r="E30" s="653">
        <v>0.12</v>
      </c>
      <c r="F30" s="660"/>
      <c r="G30" s="653">
        <f>F30*E30</f>
        <v>0</v>
      </c>
    </row>
    <row r="31" spans="1:7">
      <c r="A31" s="27"/>
      <c r="B31" s="28" t="s">
        <v>848</v>
      </c>
      <c r="C31" s="27">
        <v>0.06</v>
      </c>
      <c r="D31" s="32"/>
      <c r="E31" s="29">
        <f>SUM(E26:E30)</f>
        <v>1</v>
      </c>
      <c r="F31" s="615" t="s">
        <v>51</v>
      </c>
      <c r="G31" s="29">
        <f>SUM(G26:G30)*C31</f>
        <v>0</v>
      </c>
    </row>
    <row r="32" spans="1:7" ht="78.75">
      <c r="A32" s="655">
        <v>7</v>
      </c>
      <c r="B32" s="647" t="s">
        <v>72</v>
      </c>
      <c r="C32" s="658"/>
      <c r="D32" s="282" t="s">
        <v>1095</v>
      </c>
      <c r="E32" s="653">
        <v>0.21</v>
      </c>
      <c r="F32" s="660"/>
      <c r="G32" s="653">
        <f>F32*E32</f>
        <v>0</v>
      </c>
    </row>
    <row r="33" spans="1:8" ht="47.25">
      <c r="A33" s="655"/>
      <c r="B33" s="647"/>
      <c r="C33" s="658"/>
      <c r="D33" s="282" t="s">
        <v>1096</v>
      </c>
      <c r="E33" s="653">
        <v>0.19</v>
      </c>
      <c r="F33" s="660"/>
      <c r="G33" s="653">
        <f>F33*E33</f>
        <v>0</v>
      </c>
    </row>
    <row r="34" spans="1:8" ht="63">
      <c r="A34" s="655"/>
      <c r="B34" s="647"/>
      <c r="C34" s="658"/>
      <c r="D34" s="282" t="s">
        <v>662</v>
      </c>
      <c r="E34" s="653">
        <v>0.19</v>
      </c>
      <c r="F34" s="660"/>
      <c r="G34" s="653">
        <f>F34*E34</f>
        <v>0</v>
      </c>
    </row>
    <row r="35" spans="1:8" ht="63">
      <c r="A35" s="655"/>
      <c r="B35" s="647"/>
      <c r="C35" s="658"/>
      <c r="D35" s="282" t="s">
        <v>1097</v>
      </c>
      <c r="E35" s="653">
        <v>0.28000000000000003</v>
      </c>
      <c r="F35" s="660"/>
      <c r="G35" s="653">
        <f>F35*E35</f>
        <v>0</v>
      </c>
    </row>
    <row r="36" spans="1:8" ht="63">
      <c r="A36" s="655"/>
      <c r="B36" s="647"/>
      <c r="C36" s="658"/>
      <c r="D36" s="282" t="s">
        <v>415</v>
      </c>
      <c r="E36" s="653">
        <v>0.13</v>
      </c>
      <c r="F36" s="660"/>
      <c r="G36" s="653">
        <f>F36*E36</f>
        <v>0</v>
      </c>
    </row>
    <row r="37" spans="1:8">
      <c r="A37" s="27"/>
      <c r="B37" s="28" t="s">
        <v>848</v>
      </c>
      <c r="C37" s="27">
        <v>7.0000000000000007E-2</v>
      </c>
      <c r="D37" s="32"/>
      <c r="E37" s="29">
        <f>SUM(E32:E36)</f>
        <v>1</v>
      </c>
      <c r="F37" s="615" t="s">
        <v>52</v>
      </c>
      <c r="G37" s="29">
        <f>SUM(G32:G36)*C37</f>
        <v>0</v>
      </c>
    </row>
    <row r="38" spans="1:8" ht="132" customHeight="1">
      <c r="A38" s="655">
        <v>8</v>
      </c>
      <c r="B38" s="647" t="s">
        <v>65</v>
      </c>
      <c r="C38" s="658"/>
      <c r="D38" s="282" t="s">
        <v>1098</v>
      </c>
      <c r="E38" s="648">
        <v>0.16</v>
      </c>
      <c r="F38" s="660"/>
      <c r="G38" s="653">
        <f t="shared" ref="G38:G47" si="0">F38*E38</f>
        <v>0</v>
      </c>
      <c r="H38" s="63"/>
    </row>
    <row r="39" spans="1:8" ht="47.25">
      <c r="A39" s="655"/>
      <c r="B39" s="647"/>
      <c r="C39" s="658"/>
      <c r="D39" s="283" t="s">
        <v>1099</v>
      </c>
      <c r="E39" s="648">
        <v>0.1</v>
      </c>
      <c r="F39" s="660"/>
      <c r="G39" s="653">
        <f t="shared" si="0"/>
        <v>0</v>
      </c>
      <c r="H39" s="63"/>
    </row>
    <row r="40" spans="1:8" ht="47.25">
      <c r="A40" s="655"/>
      <c r="B40" s="647"/>
      <c r="C40" s="658"/>
      <c r="D40" s="283" t="s">
        <v>1100</v>
      </c>
      <c r="E40" s="648">
        <v>0.1</v>
      </c>
      <c r="F40" s="660"/>
      <c r="G40" s="653">
        <f t="shared" si="0"/>
        <v>0</v>
      </c>
      <c r="H40" s="63"/>
    </row>
    <row r="41" spans="1:8" ht="94.5">
      <c r="A41" s="655"/>
      <c r="B41" s="647"/>
      <c r="C41" s="658"/>
      <c r="D41" s="283" t="s">
        <v>1101</v>
      </c>
      <c r="E41" s="648">
        <v>0.14000000000000001</v>
      </c>
      <c r="F41" s="660"/>
      <c r="G41" s="653">
        <f t="shared" si="0"/>
        <v>0</v>
      </c>
      <c r="H41" s="63"/>
    </row>
    <row r="42" spans="1:8" ht="47.25">
      <c r="A42" s="655"/>
      <c r="B42" s="647"/>
      <c r="C42" s="658"/>
      <c r="D42" s="283" t="s">
        <v>1102</v>
      </c>
      <c r="E42" s="648">
        <v>0.12</v>
      </c>
      <c r="F42" s="660"/>
      <c r="G42" s="653">
        <f t="shared" si="0"/>
        <v>0</v>
      </c>
      <c r="H42" s="63"/>
    </row>
    <row r="43" spans="1:8" ht="31.5">
      <c r="A43" s="655"/>
      <c r="B43" s="647"/>
      <c r="C43" s="658"/>
      <c r="D43" s="283" t="s">
        <v>1103</v>
      </c>
      <c r="E43" s="648">
        <v>0.16</v>
      </c>
      <c r="F43" s="660"/>
      <c r="G43" s="653">
        <f t="shared" si="0"/>
        <v>0</v>
      </c>
      <c r="H43" s="63"/>
    </row>
    <row r="44" spans="1:8" ht="47.25">
      <c r="A44" s="655"/>
      <c r="B44" s="647"/>
      <c r="C44" s="658"/>
      <c r="D44" s="283" t="s">
        <v>1104</v>
      </c>
      <c r="E44" s="648">
        <v>0.04</v>
      </c>
      <c r="F44" s="660"/>
      <c r="G44" s="653">
        <f t="shared" si="0"/>
        <v>0</v>
      </c>
      <c r="H44" s="63"/>
    </row>
    <row r="45" spans="1:8" ht="63" customHeight="1">
      <c r="A45" s="655"/>
      <c r="B45" s="647"/>
      <c r="C45" s="658"/>
      <c r="D45" s="283" t="s">
        <v>1076</v>
      </c>
      <c r="E45" s="648">
        <v>0.04</v>
      </c>
      <c r="F45" s="660"/>
      <c r="G45" s="653">
        <f t="shared" si="0"/>
        <v>0</v>
      </c>
      <c r="H45" s="63"/>
    </row>
    <row r="46" spans="1:8" ht="47.25">
      <c r="A46" s="655"/>
      <c r="B46" s="647"/>
      <c r="C46" s="658"/>
      <c r="D46" s="283" t="s">
        <v>1105</v>
      </c>
      <c r="E46" s="648">
        <v>0.06</v>
      </c>
      <c r="F46" s="660"/>
      <c r="G46" s="653">
        <f t="shared" si="0"/>
        <v>0</v>
      </c>
      <c r="H46" s="63"/>
    </row>
    <row r="47" spans="1:8" ht="31.5">
      <c r="A47" s="655"/>
      <c r="B47" s="647"/>
      <c r="C47" s="658"/>
      <c r="D47" s="283" t="s">
        <v>1106</v>
      </c>
      <c r="E47" s="648">
        <v>0.08</v>
      </c>
      <c r="F47" s="660"/>
      <c r="G47" s="653">
        <f t="shared" si="0"/>
        <v>0</v>
      </c>
      <c r="H47" s="63"/>
    </row>
    <row r="48" spans="1:8">
      <c r="A48" s="27"/>
      <c r="B48" s="28" t="s">
        <v>848</v>
      </c>
      <c r="C48" s="249">
        <v>0.09</v>
      </c>
      <c r="D48" s="33"/>
      <c r="E48" s="34">
        <f>SUM(E38:E47)</f>
        <v>1.0000000000000002</v>
      </c>
      <c r="F48" s="615" t="s">
        <v>53</v>
      </c>
      <c r="G48" s="29">
        <f>SUM(G38:G47)*C48</f>
        <v>0</v>
      </c>
    </row>
    <row r="49" spans="1:7" ht="299.25">
      <c r="A49" s="655">
        <v>9</v>
      </c>
      <c r="B49" s="662" t="s">
        <v>71</v>
      </c>
      <c r="C49" s="655"/>
      <c r="D49" s="659" t="s">
        <v>1107</v>
      </c>
      <c r="E49" s="648">
        <v>0.4</v>
      </c>
      <c r="F49" s="660"/>
      <c r="G49" s="653">
        <f>F49*E49</f>
        <v>0</v>
      </c>
    </row>
    <row r="50" spans="1:7" ht="31.5">
      <c r="A50" s="655"/>
      <c r="B50" s="647"/>
      <c r="C50" s="655"/>
      <c r="D50" s="659" t="s">
        <v>1108</v>
      </c>
      <c r="E50" s="648">
        <v>0.3</v>
      </c>
      <c r="F50" s="660"/>
      <c r="G50" s="653">
        <f>F50*E50</f>
        <v>0</v>
      </c>
    </row>
    <row r="51" spans="1:7" ht="31.5">
      <c r="A51" s="655"/>
      <c r="B51" s="647"/>
      <c r="C51" s="655"/>
      <c r="D51" s="659" t="s">
        <v>1109</v>
      </c>
      <c r="E51" s="648">
        <v>0.2</v>
      </c>
      <c r="F51" s="660"/>
      <c r="G51" s="653">
        <f>F51*E51</f>
        <v>0</v>
      </c>
    </row>
    <row r="52" spans="1:7">
      <c r="A52" s="655"/>
      <c r="B52" s="647"/>
      <c r="C52" s="655"/>
      <c r="D52" s="282" t="s">
        <v>1110</v>
      </c>
      <c r="E52" s="648">
        <v>0.1</v>
      </c>
      <c r="F52" s="660"/>
      <c r="G52" s="653">
        <f>F52*E52</f>
        <v>0</v>
      </c>
    </row>
    <row r="53" spans="1:7">
      <c r="A53" s="27"/>
      <c r="B53" s="28" t="s">
        <v>848</v>
      </c>
      <c r="C53" s="27">
        <v>0.08</v>
      </c>
      <c r="D53" s="32"/>
      <c r="E53" s="29">
        <f>SUM(E49:E52)</f>
        <v>0.99999999999999989</v>
      </c>
      <c r="F53" s="615" t="s">
        <v>54</v>
      </c>
      <c r="G53" s="29">
        <f>SUM(G49:G52)*C53</f>
        <v>0</v>
      </c>
    </row>
    <row r="54" spans="1:7" ht="47.25">
      <c r="A54" s="655">
        <v>10</v>
      </c>
      <c r="B54" s="647" t="s">
        <v>73</v>
      </c>
      <c r="C54" s="658"/>
      <c r="D54" s="282" t="s">
        <v>1111</v>
      </c>
      <c r="E54" s="648">
        <v>0.22</v>
      </c>
      <c r="F54" s="660"/>
      <c r="G54" s="653">
        <f t="shared" ref="G54:G101" si="1">F54*E54</f>
        <v>0</v>
      </c>
    </row>
    <row r="55" spans="1:7" ht="31.5">
      <c r="A55" s="655"/>
      <c r="B55" s="647"/>
      <c r="C55" s="658"/>
      <c r="D55" s="282" t="s">
        <v>1112</v>
      </c>
      <c r="E55" s="648">
        <v>0.18</v>
      </c>
      <c r="F55" s="660"/>
      <c r="G55" s="653">
        <f t="shared" si="1"/>
        <v>0</v>
      </c>
    </row>
    <row r="56" spans="1:7" ht="63">
      <c r="A56" s="655"/>
      <c r="B56" s="647"/>
      <c r="C56" s="658"/>
      <c r="D56" s="282" t="s">
        <v>1113</v>
      </c>
      <c r="E56" s="648">
        <v>0.14000000000000001</v>
      </c>
      <c r="F56" s="660"/>
      <c r="G56" s="653">
        <f t="shared" si="1"/>
        <v>0</v>
      </c>
    </row>
    <row r="57" spans="1:7" ht="47.25">
      <c r="A57" s="655"/>
      <c r="B57" s="647"/>
      <c r="C57" s="658"/>
      <c r="D57" s="282" t="s">
        <v>1114</v>
      </c>
      <c r="E57" s="648">
        <v>0.25</v>
      </c>
      <c r="F57" s="660"/>
      <c r="G57" s="653">
        <f t="shared" si="1"/>
        <v>0</v>
      </c>
    </row>
    <row r="58" spans="1:7" ht="31.5">
      <c r="A58" s="655"/>
      <c r="B58" s="647"/>
      <c r="C58" s="658"/>
      <c r="D58" s="282" t="s">
        <v>1115</v>
      </c>
      <c r="E58" s="648">
        <v>7.0000000000000007E-2</v>
      </c>
      <c r="F58" s="660"/>
      <c r="G58" s="653">
        <f t="shared" si="1"/>
        <v>0</v>
      </c>
    </row>
    <row r="59" spans="1:7" ht="31.5">
      <c r="A59" s="655"/>
      <c r="B59" s="647"/>
      <c r="C59" s="658"/>
      <c r="D59" s="282" t="s">
        <v>1116</v>
      </c>
      <c r="E59" s="648">
        <v>0.11</v>
      </c>
      <c r="F59" s="660"/>
      <c r="G59" s="653">
        <f t="shared" si="1"/>
        <v>0</v>
      </c>
    </row>
    <row r="60" spans="1:7">
      <c r="A60" s="655"/>
      <c r="B60" s="647"/>
      <c r="C60" s="658"/>
      <c r="D60" s="282" t="s">
        <v>1117</v>
      </c>
      <c r="E60" s="648">
        <v>0.03</v>
      </c>
      <c r="F60" s="660"/>
      <c r="G60" s="653">
        <f t="shared" si="1"/>
        <v>0</v>
      </c>
    </row>
    <row r="61" spans="1:7">
      <c r="A61" s="27"/>
      <c r="B61" s="28" t="s">
        <v>848</v>
      </c>
      <c r="C61" s="27">
        <v>0.09</v>
      </c>
      <c r="D61" s="32"/>
      <c r="E61" s="29">
        <f>SUM(E54:E60)</f>
        <v>1</v>
      </c>
      <c r="F61" s="615" t="s">
        <v>55</v>
      </c>
      <c r="G61" s="29">
        <f>SUM(G54:G60)*C61</f>
        <v>0</v>
      </c>
    </row>
    <row r="62" spans="1:7" ht="47.25">
      <c r="A62" s="655">
        <v>11</v>
      </c>
      <c r="B62" s="647" t="s">
        <v>437</v>
      </c>
      <c r="C62" s="658"/>
      <c r="D62" s="282" t="s">
        <v>1118</v>
      </c>
      <c r="E62" s="648">
        <v>0.18</v>
      </c>
      <c r="F62" s="660"/>
      <c r="G62" s="653">
        <f t="shared" si="1"/>
        <v>0</v>
      </c>
    </row>
    <row r="63" spans="1:7">
      <c r="A63" s="655"/>
      <c r="B63" s="647"/>
      <c r="C63" s="658"/>
      <c r="D63" s="282" t="s">
        <v>1111</v>
      </c>
      <c r="E63" s="648">
        <v>0.16</v>
      </c>
      <c r="F63" s="660"/>
      <c r="G63" s="653">
        <f t="shared" si="1"/>
        <v>0</v>
      </c>
    </row>
    <row r="64" spans="1:7" ht="47.25">
      <c r="A64" s="655"/>
      <c r="B64" s="647"/>
      <c r="C64" s="658"/>
      <c r="D64" s="282" t="s">
        <v>1119</v>
      </c>
      <c r="E64" s="648">
        <v>0.11</v>
      </c>
      <c r="F64" s="660"/>
      <c r="G64" s="653">
        <f t="shared" si="1"/>
        <v>0</v>
      </c>
    </row>
    <row r="65" spans="1:10" ht="31.5">
      <c r="A65" s="655"/>
      <c r="B65" s="647"/>
      <c r="C65" s="658"/>
      <c r="D65" s="282" t="s">
        <v>1120</v>
      </c>
      <c r="E65" s="648">
        <v>0.05</v>
      </c>
      <c r="F65" s="660"/>
      <c r="G65" s="653">
        <f t="shared" si="1"/>
        <v>0</v>
      </c>
    </row>
    <row r="66" spans="1:10" ht="31.5">
      <c r="A66" s="655"/>
      <c r="B66" s="647"/>
      <c r="C66" s="658"/>
      <c r="D66" s="282" t="s">
        <v>1121</v>
      </c>
      <c r="E66" s="648">
        <v>0.11</v>
      </c>
      <c r="F66" s="660"/>
      <c r="G66" s="653">
        <f t="shared" si="1"/>
        <v>0</v>
      </c>
    </row>
    <row r="67" spans="1:10" ht="47.25">
      <c r="A67" s="655"/>
      <c r="B67" s="647"/>
      <c r="C67" s="658"/>
      <c r="D67" s="282" t="s">
        <v>1122</v>
      </c>
      <c r="E67" s="648">
        <v>0.11</v>
      </c>
      <c r="F67" s="660"/>
      <c r="G67" s="653">
        <f t="shared" si="1"/>
        <v>0</v>
      </c>
    </row>
    <row r="68" spans="1:10">
      <c r="A68" s="655"/>
      <c r="B68" s="647"/>
      <c r="C68" s="658"/>
      <c r="D68" s="282" t="s">
        <v>1123</v>
      </c>
      <c r="E68" s="648">
        <v>7.0000000000000007E-2</v>
      </c>
      <c r="F68" s="660"/>
      <c r="G68" s="653">
        <f t="shared" si="1"/>
        <v>0</v>
      </c>
    </row>
    <row r="69" spans="1:10">
      <c r="A69" s="655"/>
      <c r="B69" s="647"/>
      <c r="C69" s="658"/>
      <c r="D69" s="282" t="s">
        <v>1124</v>
      </c>
      <c r="E69" s="648">
        <v>7.0000000000000007E-2</v>
      </c>
      <c r="F69" s="660"/>
      <c r="G69" s="653">
        <f t="shared" si="1"/>
        <v>0</v>
      </c>
    </row>
    <row r="70" spans="1:10" ht="31.5">
      <c r="A70" s="655"/>
      <c r="B70" s="647"/>
      <c r="C70" s="658"/>
      <c r="D70" s="282" t="s">
        <v>1125</v>
      </c>
      <c r="E70" s="648">
        <v>0.11</v>
      </c>
      <c r="F70" s="660"/>
      <c r="G70" s="653">
        <f t="shared" si="1"/>
        <v>0</v>
      </c>
    </row>
    <row r="71" spans="1:10">
      <c r="A71" s="655"/>
      <c r="B71" s="647"/>
      <c r="C71" s="658"/>
      <c r="D71" s="282" t="s">
        <v>1117</v>
      </c>
      <c r="E71" s="648">
        <v>0.03</v>
      </c>
      <c r="F71" s="660"/>
      <c r="G71" s="653">
        <f t="shared" si="1"/>
        <v>0</v>
      </c>
    </row>
    <row r="72" spans="1:10">
      <c r="A72" s="27"/>
      <c r="B72" s="28" t="s">
        <v>848</v>
      </c>
      <c r="C72" s="27">
        <v>7.0000000000000007E-2</v>
      </c>
      <c r="D72" s="32"/>
      <c r="E72" s="29">
        <f>SUM(E62:E71)</f>
        <v>1</v>
      </c>
      <c r="F72" s="615" t="s">
        <v>56</v>
      </c>
      <c r="G72" s="29">
        <f>SUM(G62:G71)*C72</f>
        <v>0</v>
      </c>
    </row>
    <row r="73" spans="1:10" ht="94.5">
      <c r="A73" s="655">
        <v>12</v>
      </c>
      <c r="B73" s="647" t="s">
        <v>70</v>
      </c>
      <c r="C73" s="655"/>
      <c r="D73" s="282" t="s">
        <v>1126</v>
      </c>
      <c r="E73" s="648">
        <v>0.12</v>
      </c>
      <c r="F73" s="660"/>
      <c r="G73" s="653">
        <f t="shared" si="1"/>
        <v>0</v>
      </c>
    </row>
    <row r="74" spans="1:10" ht="31.5">
      <c r="A74" s="655"/>
      <c r="B74" s="647"/>
      <c r="C74" s="655"/>
      <c r="D74" s="282" t="s">
        <v>1127</v>
      </c>
      <c r="E74" s="648">
        <v>0.12</v>
      </c>
      <c r="F74" s="660"/>
      <c r="G74" s="653">
        <f t="shared" si="1"/>
        <v>0</v>
      </c>
    </row>
    <row r="75" spans="1:10" ht="31.5">
      <c r="A75" s="655"/>
      <c r="B75" s="647"/>
      <c r="C75" s="655"/>
      <c r="D75" s="283" t="s">
        <v>1128</v>
      </c>
      <c r="E75" s="648">
        <v>0.12</v>
      </c>
      <c r="F75" s="660"/>
      <c r="G75" s="653">
        <f t="shared" si="1"/>
        <v>0</v>
      </c>
    </row>
    <row r="76" spans="1:10" ht="47.25">
      <c r="A76" s="655"/>
      <c r="B76" s="647"/>
      <c r="C76" s="655"/>
      <c r="D76" s="282" t="s">
        <v>1129</v>
      </c>
      <c r="E76" s="648">
        <v>0.16</v>
      </c>
      <c r="F76" s="660"/>
      <c r="G76" s="653">
        <f t="shared" si="1"/>
        <v>0</v>
      </c>
    </row>
    <row r="77" spans="1:10" ht="63">
      <c r="A77" s="655"/>
      <c r="B77" s="647"/>
      <c r="C77" s="655"/>
      <c r="D77" s="282" t="s">
        <v>1130</v>
      </c>
      <c r="E77" s="648">
        <v>0.16</v>
      </c>
      <c r="F77" s="660"/>
      <c r="G77" s="653">
        <f t="shared" si="1"/>
        <v>0</v>
      </c>
    </row>
    <row r="78" spans="1:10" ht="78.75">
      <c r="A78" s="655"/>
      <c r="B78" s="647"/>
      <c r="C78" s="655"/>
      <c r="D78" s="282" t="s">
        <v>1131</v>
      </c>
      <c r="E78" s="648">
        <v>0.16</v>
      </c>
      <c r="F78" s="660"/>
      <c r="G78" s="653">
        <f t="shared" si="1"/>
        <v>0</v>
      </c>
    </row>
    <row r="79" spans="1:10" ht="47.25">
      <c r="A79" s="655"/>
      <c r="B79" s="647"/>
      <c r="C79" s="655"/>
      <c r="D79" s="282" t="s">
        <v>1132</v>
      </c>
      <c r="E79" s="648">
        <v>0.16</v>
      </c>
      <c r="F79" s="660"/>
      <c r="G79" s="653">
        <f t="shared" si="1"/>
        <v>0</v>
      </c>
    </row>
    <row r="80" spans="1:10">
      <c r="A80" s="27"/>
      <c r="B80" s="28" t="s">
        <v>848</v>
      </c>
      <c r="C80" s="27">
        <v>0.06</v>
      </c>
      <c r="D80" s="32"/>
      <c r="E80" s="29">
        <f>SUM(E73:E79)</f>
        <v>1</v>
      </c>
      <c r="F80" s="615" t="s">
        <v>57</v>
      </c>
      <c r="G80" s="29">
        <f>SUM(G73:G79)*C80</f>
        <v>0</v>
      </c>
      <c r="I80" s="113"/>
      <c r="J80" s="113"/>
    </row>
    <row r="81" spans="1:10" ht="154.5" customHeight="1">
      <c r="A81" s="655">
        <v>13</v>
      </c>
      <c r="B81" s="647" t="s">
        <v>66</v>
      </c>
      <c r="C81" s="658"/>
      <c r="D81" s="282" t="s">
        <v>1133</v>
      </c>
      <c r="E81" s="648">
        <v>0.28000000000000003</v>
      </c>
      <c r="F81" s="660"/>
      <c r="G81" s="653">
        <f t="shared" si="1"/>
        <v>0</v>
      </c>
      <c r="I81" s="114"/>
      <c r="J81" s="113"/>
    </row>
    <row r="82" spans="1:10" ht="47.25">
      <c r="A82" s="655"/>
      <c r="B82" s="647"/>
      <c r="C82" s="658"/>
      <c r="D82" s="283" t="s">
        <v>1134</v>
      </c>
      <c r="E82" s="648">
        <v>0.21</v>
      </c>
      <c r="F82" s="660"/>
      <c r="G82" s="653">
        <f t="shared" si="1"/>
        <v>0</v>
      </c>
      <c r="I82" s="114"/>
      <c r="J82" s="113"/>
    </row>
    <row r="83" spans="1:10" ht="63">
      <c r="A83" s="655"/>
      <c r="B83" s="647"/>
      <c r="C83" s="658"/>
      <c r="D83" s="283" t="s">
        <v>1135</v>
      </c>
      <c r="E83" s="648">
        <v>0.35</v>
      </c>
      <c r="F83" s="660"/>
      <c r="G83" s="653">
        <f t="shared" si="1"/>
        <v>0</v>
      </c>
      <c r="I83" s="114"/>
      <c r="J83" s="113"/>
    </row>
    <row r="84" spans="1:10" ht="31.5">
      <c r="A84" s="655"/>
      <c r="B84" s="647"/>
      <c r="C84" s="663"/>
      <c r="D84" s="283" t="s">
        <v>1136</v>
      </c>
      <c r="E84" s="648">
        <v>0.08</v>
      </c>
      <c r="F84" s="664"/>
      <c r="G84" s="640">
        <f t="shared" si="1"/>
        <v>0</v>
      </c>
      <c r="I84" s="114"/>
      <c r="J84" s="113"/>
    </row>
    <row r="85" spans="1:10" ht="31.5">
      <c r="A85" s="655"/>
      <c r="B85" s="647"/>
      <c r="C85" s="663"/>
      <c r="D85" s="283" t="s">
        <v>1137</v>
      </c>
      <c r="E85" s="648">
        <v>0.08</v>
      </c>
      <c r="F85" s="664"/>
      <c r="G85" s="640">
        <f t="shared" si="1"/>
        <v>0</v>
      </c>
      <c r="I85" s="114"/>
      <c r="J85" s="113"/>
    </row>
    <row r="86" spans="1:10">
      <c r="A86" s="27"/>
      <c r="B86" s="28" t="s">
        <v>848</v>
      </c>
      <c r="C86" s="249">
        <v>7.0000000000000007E-2</v>
      </c>
      <c r="D86" s="33"/>
      <c r="E86" s="34">
        <f>SUM(E81:E85)</f>
        <v>0.99999999999999989</v>
      </c>
      <c r="F86" s="616" t="s">
        <v>58</v>
      </c>
      <c r="G86" s="34">
        <f>SUM(G81:G85)*C86</f>
        <v>0</v>
      </c>
      <c r="I86" s="113"/>
      <c r="J86" s="113"/>
    </row>
    <row r="87" spans="1:10" ht="63">
      <c r="A87" s="655">
        <v>14</v>
      </c>
      <c r="B87" s="647" t="s">
        <v>67</v>
      </c>
      <c r="C87" s="655"/>
      <c r="D87" s="282" t="s">
        <v>1138</v>
      </c>
      <c r="E87" s="648">
        <v>0.2</v>
      </c>
      <c r="F87" s="660"/>
      <c r="G87" s="653">
        <f t="shared" si="1"/>
        <v>0</v>
      </c>
    </row>
    <row r="88" spans="1:10" ht="31.5">
      <c r="A88" s="655"/>
      <c r="B88" s="647"/>
      <c r="C88" s="655"/>
      <c r="D88" s="282" t="s">
        <v>1139</v>
      </c>
      <c r="E88" s="648">
        <v>0.27</v>
      </c>
      <c r="F88" s="660"/>
      <c r="G88" s="653">
        <f t="shared" si="1"/>
        <v>0</v>
      </c>
    </row>
    <row r="89" spans="1:10" ht="94.5">
      <c r="A89" s="655"/>
      <c r="B89" s="647"/>
      <c r="C89" s="655"/>
      <c r="D89" s="282" t="s">
        <v>1140</v>
      </c>
      <c r="E89" s="648">
        <v>0.34</v>
      </c>
      <c r="F89" s="660"/>
      <c r="G89" s="653">
        <f t="shared" si="1"/>
        <v>0</v>
      </c>
    </row>
    <row r="90" spans="1:10" ht="63">
      <c r="A90" s="655"/>
      <c r="B90" s="647"/>
      <c r="C90" s="655"/>
      <c r="D90" s="282" t="s">
        <v>1141</v>
      </c>
      <c r="E90" s="648">
        <v>7.0000000000000007E-2</v>
      </c>
      <c r="F90" s="660"/>
      <c r="G90" s="653">
        <f t="shared" si="1"/>
        <v>0</v>
      </c>
    </row>
    <row r="91" spans="1:10" ht="47.25">
      <c r="A91" s="655"/>
      <c r="B91" s="647"/>
      <c r="C91" s="655"/>
      <c r="D91" s="282" t="s">
        <v>1142</v>
      </c>
      <c r="E91" s="648">
        <v>0.12</v>
      </c>
      <c r="F91" s="660"/>
      <c r="G91" s="653">
        <f t="shared" si="1"/>
        <v>0</v>
      </c>
    </row>
    <row r="92" spans="1:10">
      <c r="A92" s="27"/>
      <c r="B92" s="28" t="s">
        <v>848</v>
      </c>
      <c r="C92" s="27">
        <v>7.0000000000000007E-2</v>
      </c>
      <c r="D92" s="32"/>
      <c r="E92" s="29">
        <f>SUM(E87:E91)</f>
        <v>1</v>
      </c>
      <c r="F92" s="615" t="s">
        <v>59</v>
      </c>
      <c r="G92" s="29">
        <f>SUM(G87:G91)*C92</f>
        <v>0</v>
      </c>
    </row>
    <row r="93" spans="1:10" ht="110.25">
      <c r="A93" s="655">
        <v>15</v>
      </c>
      <c r="B93" s="647" t="s">
        <v>442</v>
      </c>
      <c r="C93" s="655"/>
      <c r="D93" s="282" t="s">
        <v>1143</v>
      </c>
      <c r="E93" s="648">
        <v>0.08</v>
      </c>
      <c r="F93" s="660"/>
      <c r="G93" s="653">
        <f t="shared" si="1"/>
        <v>0</v>
      </c>
    </row>
    <row r="94" spans="1:10" ht="47.25">
      <c r="A94" s="655"/>
      <c r="B94" s="647"/>
      <c r="C94" s="655"/>
      <c r="D94" s="282" t="s">
        <v>1144</v>
      </c>
      <c r="E94" s="648">
        <v>0.18</v>
      </c>
      <c r="F94" s="660"/>
      <c r="G94" s="653">
        <f t="shared" si="1"/>
        <v>0</v>
      </c>
    </row>
    <row r="95" spans="1:10" ht="31.5">
      <c r="A95" s="655"/>
      <c r="B95" s="647"/>
      <c r="C95" s="655"/>
      <c r="D95" s="283" t="s">
        <v>1145</v>
      </c>
      <c r="E95" s="648">
        <v>0.14000000000000001</v>
      </c>
      <c r="F95" s="660"/>
      <c r="G95" s="653">
        <f t="shared" si="1"/>
        <v>0</v>
      </c>
    </row>
    <row r="96" spans="1:10" ht="47.25">
      <c r="A96" s="655"/>
      <c r="B96" s="647"/>
      <c r="C96" s="655"/>
      <c r="D96" s="282" t="s">
        <v>1146</v>
      </c>
      <c r="E96" s="648">
        <v>0.1</v>
      </c>
      <c r="F96" s="660"/>
      <c r="G96" s="653">
        <f t="shared" si="1"/>
        <v>0</v>
      </c>
    </row>
    <row r="97" spans="1:7" ht="31.5">
      <c r="A97" s="655"/>
      <c r="B97" s="647"/>
      <c r="C97" s="655"/>
      <c r="D97" s="282" t="s">
        <v>1147</v>
      </c>
      <c r="E97" s="648">
        <v>0.16</v>
      </c>
      <c r="F97" s="660"/>
      <c r="G97" s="653">
        <f t="shared" si="1"/>
        <v>0</v>
      </c>
    </row>
    <row r="98" spans="1:7" ht="47.25">
      <c r="A98" s="655"/>
      <c r="B98" s="647"/>
      <c r="C98" s="655"/>
      <c r="D98" s="282" t="s">
        <v>882</v>
      </c>
      <c r="E98" s="648">
        <v>0.12</v>
      </c>
      <c r="F98" s="660"/>
      <c r="G98" s="653">
        <f t="shared" si="1"/>
        <v>0</v>
      </c>
    </row>
    <row r="99" spans="1:7" ht="47.25">
      <c r="A99" s="655"/>
      <c r="B99" s="647"/>
      <c r="C99" s="655"/>
      <c r="D99" s="282" t="s">
        <v>1148</v>
      </c>
      <c r="E99" s="648">
        <v>0.1</v>
      </c>
      <c r="F99" s="660"/>
      <c r="G99" s="653">
        <f t="shared" si="1"/>
        <v>0</v>
      </c>
    </row>
    <row r="100" spans="1:7">
      <c r="A100" s="655"/>
      <c r="B100" s="647"/>
      <c r="C100" s="655"/>
      <c r="D100" s="282" t="s">
        <v>1149</v>
      </c>
      <c r="E100" s="648">
        <v>0.08</v>
      </c>
      <c r="F100" s="660"/>
      <c r="G100" s="653">
        <f t="shared" si="1"/>
        <v>0</v>
      </c>
    </row>
    <row r="101" spans="1:7">
      <c r="A101" s="655"/>
      <c r="B101" s="647"/>
      <c r="C101" s="655"/>
      <c r="D101" s="282" t="s">
        <v>1117</v>
      </c>
      <c r="E101" s="648">
        <v>0.04</v>
      </c>
      <c r="F101" s="660"/>
      <c r="G101" s="653">
        <f t="shared" si="1"/>
        <v>0</v>
      </c>
    </row>
    <row r="102" spans="1:7">
      <c r="A102" s="27"/>
      <c r="B102" s="28" t="s">
        <v>848</v>
      </c>
      <c r="C102" s="27">
        <v>0.11</v>
      </c>
      <c r="D102" s="32"/>
      <c r="E102" s="29">
        <f>SUM(E93:E101)</f>
        <v>1</v>
      </c>
      <c r="F102" s="29" t="s">
        <v>69</v>
      </c>
      <c r="G102" s="29">
        <f>SUM(G93:G101)*C102</f>
        <v>0</v>
      </c>
    </row>
    <row r="103" spans="1:7">
      <c r="A103" s="246"/>
      <c r="B103" s="37" t="s">
        <v>443</v>
      </c>
      <c r="C103" s="246">
        <f>SUBTOTAL(9,C8,C11,C16,C19,C25,C31,C37,C48,C53,C61,C72,C80,C86,C92,C102)</f>
        <v>1.0000000000000002</v>
      </c>
      <c r="D103" s="38"/>
      <c r="E103" s="39">
        <v>15</v>
      </c>
      <c r="F103" s="38"/>
      <c r="G103" s="39">
        <f>SUBTOTAL(9,G8,G11,G16,G19,G25,G31,G37,G48,G53,G61,G72,G80,G86,G92,G102)</f>
        <v>0</v>
      </c>
    </row>
    <row r="104" spans="1:7">
      <c r="A104" s="655"/>
      <c r="B104" s="647" t="s">
        <v>444</v>
      </c>
      <c r="C104" s="658"/>
      <c r="D104" s="659"/>
      <c r="E104" s="653"/>
      <c r="F104" s="665"/>
      <c r="G104" s="655" t="str">
        <f>IF(G103&lt;=0.5,"низький",IF(G103&lt;=0.75,"середній",(IF(G103&lt;=0.95,"достатній",(IF(G103&lt;=1,"високий"))))))</f>
        <v>низький</v>
      </c>
    </row>
    <row r="105" spans="1:7" s="302" customFormat="1">
      <c r="A105" s="288" t="s">
        <v>182</v>
      </c>
      <c r="B105" s="289"/>
      <c r="C105" s="342"/>
      <c r="E105" s="343"/>
      <c r="F105" s="344"/>
      <c r="G105" s="112"/>
    </row>
    <row r="106" spans="1:7" s="302" customFormat="1" ht="17.25">
      <c r="A106" s="345" t="s">
        <v>589</v>
      </c>
      <c r="B106" s="346"/>
      <c r="C106" s="347"/>
      <c r="D106" s="303"/>
      <c r="E106" s="348"/>
      <c r="F106" s="349"/>
      <c r="G106" s="112"/>
    </row>
    <row r="107" spans="1:7" s="302" customFormat="1" ht="17.25">
      <c r="A107" s="345" t="s">
        <v>590</v>
      </c>
      <c r="B107" s="346"/>
      <c r="C107" s="347"/>
      <c r="D107" s="303"/>
      <c r="E107" s="348"/>
      <c r="F107" s="349"/>
      <c r="G107" s="112"/>
    </row>
    <row r="108" spans="1:7" s="302" customFormat="1" ht="17.25">
      <c r="A108" s="345" t="s">
        <v>591</v>
      </c>
      <c r="B108" s="346"/>
      <c r="C108" s="347"/>
      <c r="D108" s="303"/>
      <c r="E108" s="348"/>
      <c r="F108" s="349"/>
      <c r="G108" s="112"/>
    </row>
    <row r="109" spans="1:7" s="302" customFormat="1" ht="17.25">
      <c r="A109" s="345" t="s">
        <v>592</v>
      </c>
      <c r="B109" s="346"/>
      <c r="C109" s="347"/>
      <c r="D109" s="303"/>
      <c r="E109" s="348"/>
      <c r="F109" s="349"/>
      <c r="G109" s="112"/>
    </row>
    <row r="110" spans="1:7" s="302" customFormat="1" ht="17.25">
      <c r="A110" s="345" t="s">
        <v>593</v>
      </c>
      <c r="B110" s="346"/>
      <c r="C110" s="347"/>
      <c r="D110" s="303"/>
      <c r="E110" s="348"/>
      <c r="F110" s="349"/>
      <c r="G110" s="112"/>
    </row>
    <row r="111" spans="1:7" s="302" customFormat="1" ht="17.25">
      <c r="A111" s="345" t="s">
        <v>594</v>
      </c>
      <c r="B111" s="346"/>
      <c r="C111" s="347"/>
      <c r="D111" s="303"/>
      <c r="E111" s="348"/>
      <c r="F111" s="349"/>
      <c r="G111" s="112"/>
    </row>
    <row r="112" spans="1:7" s="302" customFormat="1" ht="17.25">
      <c r="A112" s="345" t="s">
        <v>595</v>
      </c>
      <c r="B112" s="346"/>
      <c r="C112" s="347"/>
      <c r="D112" s="303"/>
      <c r="E112" s="348"/>
      <c r="F112" s="349"/>
      <c r="G112" s="112"/>
    </row>
    <row r="113" spans="1:7" s="302" customFormat="1">
      <c r="A113" s="350" t="s">
        <v>596</v>
      </c>
      <c r="B113" s="346"/>
      <c r="C113" s="347"/>
      <c r="D113" s="303"/>
      <c r="E113" s="348"/>
      <c r="F113" s="349"/>
      <c r="G113" s="112"/>
    </row>
    <row r="114" spans="1:7" s="302" customFormat="1">
      <c r="A114" s="345" t="s">
        <v>597</v>
      </c>
      <c r="B114" s="346"/>
      <c r="C114" s="347"/>
      <c r="D114" s="303"/>
      <c r="E114" s="348"/>
      <c r="F114" s="349"/>
      <c r="G114" s="112"/>
    </row>
    <row r="115" spans="1:7" s="302" customFormat="1">
      <c r="A115" s="288" t="s">
        <v>792</v>
      </c>
      <c r="B115" s="346"/>
      <c r="C115" s="347"/>
      <c r="D115" s="303"/>
      <c r="E115" s="348"/>
      <c r="F115" s="349"/>
      <c r="G115" s="112"/>
    </row>
    <row r="116" spans="1:7" s="302" customFormat="1">
      <c r="A116" s="288" t="s">
        <v>793</v>
      </c>
      <c r="B116" s="346"/>
      <c r="C116" s="347"/>
      <c r="D116" s="303"/>
      <c r="E116" s="348"/>
      <c r="F116" s="349"/>
      <c r="G116" s="112"/>
    </row>
    <row r="117" spans="1:7" s="302" customFormat="1">
      <c r="A117" s="288" t="s">
        <v>794</v>
      </c>
      <c r="B117" s="346"/>
      <c r="C117" s="347"/>
      <c r="D117" s="303"/>
      <c r="E117" s="348"/>
      <c r="F117" s="349"/>
      <c r="G117" s="112"/>
    </row>
    <row r="118" spans="1:7" s="302" customFormat="1">
      <c r="A118" s="342"/>
      <c r="B118" s="342" t="s">
        <v>20</v>
      </c>
      <c r="C118" s="342"/>
      <c r="D118" s="342"/>
      <c r="E118" s="342"/>
      <c r="F118" s="342"/>
      <c r="G118" s="342"/>
    </row>
    <row r="119" spans="1:7" s="302" customFormat="1">
      <c r="A119" s="351"/>
      <c r="B119" s="351"/>
      <c r="C119" s="351"/>
      <c r="D119" s="351"/>
      <c r="E119" s="351"/>
      <c r="F119" s="351"/>
      <c r="G119" s="351"/>
    </row>
    <row r="120" spans="1:7" s="302" customFormat="1">
      <c r="A120" s="351"/>
      <c r="B120" s="351"/>
      <c r="C120" s="351"/>
      <c r="D120" s="351"/>
      <c r="E120" s="351"/>
      <c r="F120" s="351"/>
      <c r="G120" s="351"/>
    </row>
    <row r="121" spans="1:7" s="302" customFormat="1">
      <c r="A121" s="351"/>
      <c r="B121" s="351"/>
      <c r="C121" s="351"/>
      <c r="D121" s="351"/>
      <c r="E121" s="351"/>
      <c r="F121" s="351"/>
      <c r="G121" s="351"/>
    </row>
    <row r="122" spans="1:7" s="302" customFormat="1">
      <c r="A122" s="351"/>
      <c r="B122" s="351"/>
      <c r="C122" s="351"/>
      <c r="D122" s="351"/>
      <c r="E122" s="351"/>
      <c r="F122" s="351"/>
      <c r="G122" s="351"/>
    </row>
    <row r="123" spans="1:7" s="302" customFormat="1">
      <c r="A123" s="351"/>
      <c r="B123" s="351"/>
      <c r="C123" s="351"/>
      <c r="D123" s="351"/>
      <c r="E123" s="351"/>
      <c r="F123" s="351"/>
      <c r="G123" s="351"/>
    </row>
    <row r="124" spans="1:7" s="302" customFormat="1">
      <c r="A124" s="351"/>
      <c r="B124" s="351"/>
      <c r="C124" s="351"/>
      <c r="D124" s="351"/>
      <c r="E124" s="351"/>
      <c r="F124" s="351"/>
      <c r="G124" s="351"/>
    </row>
    <row r="125" spans="1:7" s="302" customFormat="1">
      <c r="A125" s="351"/>
      <c r="B125" s="351"/>
      <c r="C125" s="351"/>
      <c r="D125" s="351"/>
      <c r="E125" s="351"/>
      <c r="F125" s="351"/>
      <c r="G125" s="351"/>
    </row>
    <row r="126" spans="1:7" s="302" customFormat="1">
      <c r="A126" s="351"/>
      <c r="B126" s="351"/>
      <c r="C126" s="351"/>
      <c r="D126" s="351"/>
      <c r="E126" s="351"/>
      <c r="F126" s="351"/>
      <c r="G126" s="351"/>
    </row>
    <row r="127" spans="1:7" s="302" customFormat="1">
      <c r="A127" s="351"/>
      <c r="B127" s="351"/>
      <c r="C127" s="351"/>
      <c r="D127" s="351"/>
      <c r="E127" s="351"/>
      <c r="F127" s="351"/>
      <c r="G127" s="351"/>
    </row>
    <row r="128" spans="1:7" s="302" customFormat="1">
      <c r="A128" s="351"/>
      <c r="B128" s="351"/>
      <c r="C128" s="351"/>
      <c r="D128" s="351"/>
      <c r="E128" s="351"/>
      <c r="F128" s="351"/>
      <c r="G128" s="351"/>
    </row>
    <row r="129" spans="1:7" s="302" customFormat="1">
      <c r="A129" s="351"/>
      <c r="B129" s="351"/>
      <c r="C129" s="351"/>
      <c r="D129" s="351"/>
      <c r="E129" s="351"/>
      <c r="F129" s="351"/>
      <c r="G129" s="351"/>
    </row>
    <row r="130" spans="1:7" s="302" customFormat="1">
      <c r="A130" s="351"/>
      <c r="B130" s="351"/>
      <c r="C130" s="351"/>
      <c r="D130" s="351"/>
      <c r="E130" s="351"/>
      <c r="F130" s="351"/>
      <c r="G130" s="351"/>
    </row>
    <row r="131" spans="1:7" s="302" customFormat="1">
      <c r="A131" s="351"/>
      <c r="B131" s="351"/>
      <c r="C131" s="351"/>
      <c r="D131" s="351"/>
      <c r="E131" s="351"/>
      <c r="F131" s="351"/>
      <c r="G131" s="351"/>
    </row>
    <row r="132" spans="1:7" s="302" customFormat="1">
      <c r="A132" s="351"/>
      <c r="B132" s="351"/>
      <c r="C132" s="351"/>
      <c r="D132" s="351"/>
      <c r="E132" s="351"/>
      <c r="F132" s="351"/>
      <c r="G132" s="351"/>
    </row>
    <row r="133" spans="1:7" s="302" customFormat="1">
      <c r="A133" s="342"/>
      <c r="B133" s="352" t="s">
        <v>2418</v>
      </c>
      <c r="C133" s="352"/>
      <c r="D133" s="352"/>
      <c r="E133" s="352"/>
      <c r="F133" s="352"/>
      <c r="G133" s="352"/>
    </row>
    <row r="134" spans="1:7" s="302" customFormat="1">
      <c r="A134" s="342"/>
      <c r="B134" s="353"/>
      <c r="C134" s="353"/>
      <c r="D134" s="353"/>
      <c r="E134" s="353"/>
      <c r="F134" s="353"/>
      <c r="G134" s="353"/>
    </row>
    <row r="135" spans="1:7" s="302" customFormat="1">
      <c r="A135" s="342"/>
      <c r="B135" s="352" t="s">
        <v>22</v>
      </c>
      <c r="C135" s="352"/>
      <c r="D135" s="352"/>
      <c r="E135" s="352"/>
      <c r="F135" s="352"/>
      <c r="G135" s="352"/>
    </row>
    <row r="136" spans="1:7" s="302" customFormat="1">
      <c r="A136" s="342"/>
      <c r="B136" s="353"/>
      <c r="C136" s="353"/>
      <c r="D136" s="353"/>
      <c r="E136" s="353"/>
      <c r="F136" s="353"/>
      <c r="G136" s="353"/>
    </row>
    <row r="137" spans="1:7" s="302" customFormat="1">
      <c r="A137" s="342"/>
      <c r="B137" s="352" t="s">
        <v>23</v>
      </c>
      <c r="C137" s="352"/>
      <c r="D137" s="352"/>
      <c r="E137" s="352"/>
      <c r="F137" s="352"/>
      <c r="G137" s="352"/>
    </row>
    <row r="138" spans="1:7" s="302" customFormat="1">
      <c r="A138" s="342"/>
      <c r="B138" s="352" t="s">
        <v>24</v>
      </c>
      <c r="C138" s="352"/>
      <c r="D138" s="352"/>
      <c r="E138" s="352"/>
      <c r="F138" s="352"/>
      <c r="G138" s="352"/>
    </row>
    <row r="139" spans="1:7" s="303" customFormat="1">
      <c r="A139" s="346"/>
      <c r="B139" s="346"/>
      <c r="E139" s="333"/>
    </row>
    <row r="140" spans="1:7">
      <c r="A140" s="290"/>
      <c r="B140" s="289"/>
      <c r="C140" s="63"/>
      <c r="D140" s="101"/>
    </row>
    <row r="141" spans="1:7">
      <c r="A141" s="290"/>
      <c r="B141" s="289"/>
      <c r="C141" s="63"/>
      <c r="D141" s="101"/>
    </row>
    <row r="142" spans="1:7">
      <c r="A142" s="290"/>
      <c r="B142" s="289"/>
      <c r="C142" s="63"/>
      <c r="D142" s="101"/>
    </row>
    <row r="143" spans="1:7">
      <c r="A143" s="54"/>
      <c r="B143" s="110"/>
      <c r="C143" s="385"/>
      <c r="D143" s="111"/>
      <c r="E143" s="111"/>
      <c r="F143" s="68"/>
      <c r="G143" s="112"/>
    </row>
    <row r="144" spans="1:7">
      <c r="A144" s="54"/>
      <c r="B144" s="110"/>
      <c r="C144" s="385"/>
      <c r="D144" s="111"/>
      <c r="E144" s="111"/>
      <c r="F144" s="68"/>
      <c r="G144" s="112"/>
    </row>
    <row r="145" spans="1:7">
      <c r="A145" s="54"/>
      <c r="B145" s="110"/>
      <c r="C145" s="385"/>
      <c r="D145" s="111"/>
      <c r="E145" s="111"/>
      <c r="F145" s="68"/>
      <c r="G145" s="112"/>
    </row>
    <row r="146" spans="1:7">
      <c r="A146" s="54"/>
      <c r="B146" s="110"/>
      <c r="C146" s="385"/>
      <c r="D146" s="111"/>
      <c r="E146" s="111"/>
      <c r="F146" s="68"/>
      <c r="G146" s="112"/>
    </row>
    <row r="147" spans="1:7">
      <c r="A147" s="54"/>
      <c r="B147" s="110"/>
      <c r="C147" s="385"/>
      <c r="D147" s="111"/>
      <c r="E147" s="111"/>
      <c r="F147" s="68"/>
      <c r="G147" s="112"/>
    </row>
  </sheetData>
  <autoFilter ref="A3:G118"/>
  <mergeCells count="2">
    <mergeCell ref="A1:G1"/>
    <mergeCell ref="A2:G2"/>
  </mergeCells>
  <phoneticPr fontId="4" type="noConversion"/>
  <pageMargins left="0.70866141732283472" right="0.70866141732283472" top="0.35433070866141736" bottom="0.35433070866141736" header="0.31496062992125984" footer="0.31496062992125984"/>
  <pageSetup paperSize="9" scale="67" orientation="portrait" r:id="rId1"/>
</worksheet>
</file>

<file path=xl/worksheets/sheet40.xml><?xml version="1.0" encoding="utf-8"?>
<worksheet xmlns="http://schemas.openxmlformats.org/spreadsheetml/2006/main" xmlns:r="http://schemas.openxmlformats.org/officeDocument/2006/relationships">
  <dimension ref="A1:G101"/>
  <sheetViews>
    <sheetView zoomScale="80" zoomScaleNormal="80" workbookViewId="0">
      <selection activeCell="F5" sqref="F5"/>
    </sheetView>
  </sheetViews>
  <sheetFormatPr defaultRowHeight="15.75"/>
  <cols>
    <col min="1" max="1" width="7" style="247" bestFit="1" customWidth="1"/>
    <col min="2" max="2" width="20.85546875" style="107" customWidth="1"/>
    <col min="3" max="3" width="13.28515625" style="247" customWidth="1"/>
    <col min="4" max="4" width="40.42578125" style="8" customWidth="1"/>
    <col min="5" max="5" width="16.42578125" style="247" customWidth="1"/>
    <col min="6" max="6" width="17.7109375" style="104" customWidth="1"/>
    <col min="7" max="7" width="13.5703125" style="104" bestFit="1" customWidth="1"/>
    <col min="8" max="16384" width="9.140625" style="104"/>
  </cols>
  <sheetData>
    <row r="1" spans="1:7" ht="15.75" customHeight="1">
      <c r="A1" s="1132" t="s">
        <v>446</v>
      </c>
      <c r="B1" s="1132"/>
      <c r="C1" s="1132"/>
      <c r="D1" s="1132"/>
      <c r="E1" s="1132"/>
      <c r="F1" s="1132"/>
      <c r="G1" s="1132"/>
    </row>
    <row r="2" spans="1:7" ht="36" customHeight="1">
      <c r="A2" s="1351" t="s">
        <v>1611</v>
      </c>
      <c r="B2" s="1351"/>
      <c r="C2" s="1351"/>
      <c r="D2" s="1351"/>
      <c r="E2" s="1351"/>
      <c r="F2" s="1351"/>
      <c r="G2" s="1351"/>
    </row>
    <row r="4" spans="1:7" ht="47.25" customHeight="1">
      <c r="A4" s="5" t="s">
        <v>434</v>
      </c>
      <c r="B4" s="5" t="s">
        <v>338</v>
      </c>
      <c r="C4" s="5" t="s">
        <v>771</v>
      </c>
      <c r="D4" s="5" t="s">
        <v>333</v>
      </c>
      <c r="E4" s="5" t="s">
        <v>337</v>
      </c>
      <c r="F4" s="5" t="s">
        <v>770</v>
      </c>
      <c r="G4" s="5" t="s">
        <v>82</v>
      </c>
    </row>
    <row r="5" spans="1:7" ht="378">
      <c r="A5" s="21">
        <v>1</v>
      </c>
      <c r="B5" s="167" t="s">
        <v>767</v>
      </c>
      <c r="C5" s="84"/>
      <c r="D5" s="91" t="s">
        <v>724</v>
      </c>
      <c r="E5" s="84">
        <v>0.2</v>
      </c>
      <c r="F5" s="1"/>
      <c r="G5" s="11">
        <f>F5*E5</f>
        <v>0</v>
      </c>
    </row>
    <row r="6" spans="1:7" ht="47.25">
      <c r="A6" s="21"/>
      <c r="B6" s="167"/>
      <c r="C6" s="84"/>
      <c r="D6" s="91" t="s">
        <v>598</v>
      </c>
      <c r="E6" s="248">
        <v>0.4</v>
      </c>
      <c r="F6" s="1"/>
      <c r="G6" s="11">
        <f t="shared" ref="G6:G60" si="0">F6*E6</f>
        <v>0</v>
      </c>
    </row>
    <row r="7" spans="1:7" ht="94.5">
      <c r="A7" s="21"/>
      <c r="B7" s="167"/>
      <c r="C7" s="84"/>
      <c r="D7" s="91" t="s">
        <v>725</v>
      </c>
      <c r="E7" s="248">
        <v>0.4</v>
      </c>
      <c r="F7" s="1"/>
      <c r="G7" s="11">
        <f t="shared" si="0"/>
        <v>0</v>
      </c>
    </row>
    <row r="8" spans="1:7">
      <c r="A8" s="27"/>
      <c r="B8" s="28" t="s">
        <v>848</v>
      </c>
      <c r="C8" s="27">
        <v>0.05</v>
      </c>
      <c r="D8" s="32"/>
      <c r="E8" s="249">
        <f>SUM(E5:E7)</f>
        <v>1</v>
      </c>
      <c r="F8" s="29" t="s">
        <v>46</v>
      </c>
      <c r="G8" s="29">
        <f>SUM(G5:G7)*C8</f>
        <v>0</v>
      </c>
    </row>
    <row r="9" spans="1:7" ht="47.25">
      <c r="A9" s="21">
        <v>2</v>
      </c>
      <c r="B9" s="167" t="s">
        <v>768</v>
      </c>
      <c r="C9" s="84"/>
      <c r="D9" s="91" t="s">
        <v>726</v>
      </c>
      <c r="E9" s="84">
        <v>0.4</v>
      </c>
      <c r="F9" s="1"/>
      <c r="G9" s="11">
        <f t="shared" si="0"/>
        <v>0</v>
      </c>
    </row>
    <row r="10" spans="1:7" ht="78.75">
      <c r="A10" s="21"/>
      <c r="B10" s="167"/>
      <c r="C10" s="84"/>
      <c r="D10" s="91" t="s">
        <v>727</v>
      </c>
      <c r="E10" s="248">
        <v>0.35</v>
      </c>
      <c r="F10" s="1"/>
      <c r="G10" s="11">
        <f t="shared" si="0"/>
        <v>0</v>
      </c>
    </row>
    <row r="11" spans="1:7" ht="47.25">
      <c r="A11" s="21"/>
      <c r="B11" s="167"/>
      <c r="C11" s="84"/>
      <c r="D11" s="91" t="s">
        <v>728</v>
      </c>
      <c r="E11" s="248">
        <v>0.25</v>
      </c>
      <c r="F11" s="1"/>
      <c r="G11" s="11">
        <f t="shared" si="0"/>
        <v>0</v>
      </c>
    </row>
    <row r="12" spans="1:7">
      <c r="A12" s="27"/>
      <c r="B12" s="28" t="s">
        <v>848</v>
      </c>
      <c r="C12" s="27">
        <v>0.05</v>
      </c>
      <c r="D12" s="32"/>
      <c r="E12" s="249">
        <f>SUM(E9:E11)</f>
        <v>1</v>
      </c>
      <c r="F12" s="29" t="s">
        <v>47</v>
      </c>
      <c r="G12" s="29">
        <f>SUM(G9:G11)*C12</f>
        <v>0</v>
      </c>
    </row>
    <row r="13" spans="1:7" ht="63">
      <c r="A13" s="21">
        <v>3</v>
      </c>
      <c r="B13" s="167" t="s">
        <v>567</v>
      </c>
      <c r="C13" s="84"/>
      <c r="D13" s="91" t="s">
        <v>729</v>
      </c>
      <c r="E13" s="84">
        <v>1</v>
      </c>
      <c r="F13" s="1"/>
      <c r="G13" s="11">
        <f t="shared" si="0"/>
        <v>0</v>
      </c>
    </row>
    <row r="14" spans="1:7">
      <c r="A14" s="27"/>
      <c r="B14" s="28" t="s">
        <v>848</v>
      </c>
      <c r="C14" s="27">
        <v>0.05</v>
      </c>
      <c r="D14" s="32"/>
      <c r="E14" s="249">
        <f>E13</f>
        <v>1</v>
      </c>
      <c r="F14" s="29" t="s">
        <v>48</v>
      </c>
      <c r="G14" s="29">
        <f>SUM(G13)*C14</f>
        <v>0</v>
      </c>
    </row>
    <row r="15" spans="1:7" ht="48" customHeight="1">
      <c r="A15" s="21">
        <v>4</v>
      </c>
      <c r="B15" s="167" t="s">
        <v>568</v>
      </c>
      <c r="C15" s="84"/>
      <c r="D15" s="91" t="s">
        <v>730</v>
      </c>
      <c r="E15" s="84">
        <v>0.4</v>
      </c>
      <c r="F15" s="1"/>
      <c r="G15" s="11">
        <f t="shared" si="0"/>
        <v>0</v>
      </c>
    </row>
    <row r="16" spans="1:7" ht="47.25">
      <c r="A16" s="21"/>
      <c r="B16" s="167"/>
      <c r="C16" s="84"/>
      <c r="D16" s="91" t="s">
        <v>731</v>
      </c>
      <c r="E16" s="248">
        <v>0.6</v>
      </c>
      <c r="F16" s="1"/>
      <c r="G16" s="11">
        <f t="shared" si="0"/>
        <v>0</v>
      </c>
    </row>
    <row r="17" spans="1:7">
      <c r="A17" s="27"/>
      <c r="B17" s="28" t="s">
        <v>848</v>
      </c>
      <c r="C17" s="27">
        <v>0.2</v>
      </c>
      <c r="D17" s="32"/>
      <c r="E17" s="249">
        <f>SUM(E15:E16)</f>
        <v>1</v>
      </c>
      <c r="F17" s="29" t="s">
        <v>49</v>
      </c>
      <c r="G17" s="29">
        <f>SUM(G15:G16)*C17</f>
        <v>0</v>
      </c>
    </row>
    <row r="18" spans="1:7" ht="211.5" customHeight="1">
      <c r="A18" s="21">
        <v>5</v>
      </c>
      <c r="B18" s="167" t="s">
        <v>569</v>
      </c>
      <c r="C18" s="84"/>
      <c r="D18" s="91" t="s">
        <v>576</v>
      </c>
      <c r="E18" s="84">
        <v>0.2</v>
      </c>
      <c r="F18" s="1"/>
      <c r="G18" s="11">
        <f t="shared" si="0"/>
        <v>0</v>
      </c>
    </row>
    <row r="19" spans="1:7" ht="47.25">
      <c r="A19" s="21"/>
      <c r="B19" s="167"/>
      <c r="C19" s="84"/>
      <c r="D19" s="96" t="s">
        <v>732</v>
      </c>
      <c r="E19" s="248">
        <v>0.2</v>
      </c>
      <c r="F19" s="1"/>
      <c r="G19" s="11">
        <f t="shared" si="0"/>
        <v>0</v>
      </c>
    </row>
    <row r="20" spans="1:7" ht="110.25">
      <c r="A20" s="21"/>
      <c r="B20" s="167"/>
      <c r="C20" s="84"/>
      <c r="D20" s="91" t="s">
        <v>733</v>
      </c>
      <c r="E20" s="248">
        <v>0.2</v>
      </c>
      <c r="F20" s="1"/>
      <c r="G20" s="11">
        <f t="shared" si="0"/>
        <v>0</v>
      </c>
    </row>
    <row r="21" spans="1:7" ht="47.25">
      <c r="A21" s="21"/>
      <c r="B21" s="167"/>
      <c r="C21" s="84"/>
      <c r="D21" s="91" t="s">
        <v>734</v>
      </c>
      <c r="E21" s="248">
        <v>0.1</v>
      </c>
      <c r="F21" s="1"/>
      <c r="G21" s="11">
        <f t="shared" si="0"/>
        <v>0</v>
      </c>
    </row>
    <row r="22" spans="1:7" ht="31.5">
      <c r="A22" s="21"/>
      <c r="B22" s="167"/>
      <c r="C22" s="84"/>
      <c r="D22" s="91" t="s">
        <v>735</v>
      </c>
      <c r="E22" s="248">
        <v>0.3</v>
      </c>
      <c r="F22" s="1"/>
      <c r="G22" s="11">
        <f t="shared" si="0"/>
        <v>0</v>
      </c>
    </row>
    <row r="23" spans="1:7">
      <c r="A23" s="27"/>
      <c r="B23" s="28" t="s">
        <v>848</v>
      </c>
      <c r="C23" s="27">
        <v>0.2</v>
      </c>
      <c r="D23" s="32"/>
      <c r="E23" s="249">
        <f>SUM(E18:E22)</f>
        <v>1</v>
      </c>
      <c r="F23" s="29" t="s">
        <v>50</v>
      </c>
      <c r="G23" s="29">
        <f>SUM(G18:G22)*C23</f>
        <v>0</v>
      </c>
    </row>
    <row r="24" spans="1:7" ht="48" customHeight="1">
      <c r="A24" s="21">
        <v>6</v>
      </c>
      <c r="B24" s="167" t="s">
        <v>570</v>
      </c>
      <c r="C24" s="84"/>
      <c r="D24" s="91" t="s">
        <v>736</v>
      </c>
      <c r="E24" s="84">
        <v>0.25</v>
      </c>
      <c r="F24" s="1"/>
      <c r="G24" s="11">
        <f t="shared" si="0"/>
        <v>0</v>
      </c>
    </row>
    <row r="25" spans="1:7" ht="31.5">
      <c r="A25" s="21"/>
      <c r="B25" s="167"/>
      <c r="C25" s="84"/>
      <c r="D25" s="91" t="s">
        <v>737</v>
      </c>
      <c r="E25" s="248">
        <v>0.2</v>
      </c>
      <c r="F25" s="1"/>
      <c r="G25" s="11">
        <f t="shared" si="0"/>
        <v>0</v>
      </c>
    </row>
    <row r="26" spans="1:7" ht="31.5">
      <c r="A26" s="21"/>
      <c r="B26" s="167"/>
      <c r="C26" s="84"/>
      <c r="D26" s="91" t="s">
        <v>738</v>
      </c>
      <c r="E26" s="248">
        <v>0.2</v>
      </c>
      <c r="F26" s="1"/>
      <c r="G26" s="11">
        <f t="shared" si="0"/>
        <v>0</v>
      </c>
    </row>
    <row r="27" spans="1:7" ht="110.25">
      <c r="A27" s="21"/>
      <c r="B27" s="167"/>
      <c r="C27" s="84"/>
      <c r="D27" s="91" t="s">
        <v>739</v>
      </c>
      <c r="E27" s="248">
        <v>0.1</v>
      </c>
      <c r="F27" s="1"/>
      <c r="G27" s="11">
        <f t="shared" si="0"/>
        <v>0</v>
      </c>
    </row>
    <row r="28" spans="1:7">
      <c r="A28" s="21"/>
      <c r="B28" s="167"/>
      <c r="C28" s="84"/>
      <c r="D28" s="91" t="s">
        <v>740</v>
      </c>
      <c r="E28" s="248">
        <v>0.25</v>
      </c>
      <c r="F28" s="1"/>
      <c r="G28" s="11">
        <f t="shared" si="0"/>
        <v>0</v>
      </c>
    </row>
    <row r="29" spans="1:7">
      <c r="A29" s="27"/>
      <c r="B29" s="28" t="s">
        <v>848</v>
      </c>
      <c r="C29" s="27">
        <v>0.15</v>
      </c>
      <c r="D29" s="32"/>
      <c r="E29" s="249">
        <f>SUM(E24:E28)</f>
        <v>1</v>
      </c>
      <c r="F29" s="29" t="s">
        <v>51</v>
      </c>
      <c r="G29" s="29">
        <f>SUM(G24:G28)*C29</f>
        <v>0</v>
      </c>
    </row>
    <row r="30" spans="1:7" ht="48" customHeight="1">
      <c r="A30" s="21">
        <v>7</v>
      </c>
      <c r="B30" s="167" t="s">
        <v>571</v>
      </c>
      <c r="C30" s="84"/>
      <c r="D30" s="91" t="s">
        <v>741</v>
      </c>
      <c r="E30" s="84">
        <v>0.1</v>
      </c>
      <c r="F30" s="1"/>
      <c r="G30" s="11">
        <f t="shared" si="0"/>
        <v>0</v>
      </c>
    </row>
    <row r="31" spans="1:7" ht="47.25">
      <c r="A31" s="21"/>
      <c r="B31" s="167"/>
      <c r="C31" s="84"/>
      <c r="D31" s="91" t="s">
        <v>742</v>
      </c>
      <c r="E31" s="84">
        <v>0.1</v>
      </c>
      <c r="F31" s="1"/>
      <c r="G31" s="11">
        <f t="shared" si="0"/>
        <v>0</v>
      </c>
    </row>
    <row r="32" spans="1:7" ht="63">
      <c r="A32" s="21"/>
      <c r="B32" s="167"/>
      <c r="C32" s="84"/>
      <c r="D32" s="91" t="s">
        <v>566</v>
      </c>
      <c r="E32" s="84">
        <v>0.25</v>
      </c>
      <c r="F32" s="1"/>
      <c r="G32" s="11">
        <f t="shared" si="0"/>
        <v>0</v>
      </c>
    </row>
    <row r="33" spans="1:7" ht="31.5">
      <c r="A33" s="21"/>
      <c r="B33" s="167"/>
      <c r="C33" s="84"/>
      <c r="D33" s="91" t="s">
        <v>743</v>
      </c>
      <c r="E33" s="84">
        <v>0.15</v>
      </c>
      <c r="F33" s="1"/>
      <c r="G33" s="11">
        <f t="shared" si="0"/>
        <v>0</v>
      </c>
    </row>
    <row r="34" spans="1:7" ht="63">
      <c r="A34" s="21"/>
      <c r="B34" s="167"/>
      <c r="C34" s="84"/>
      <c r="D34" s="91" t="s">
        <v>744</v>
      </c>
      <c r="E34" s="248">
        <v>0.2</v>
      </c>
      <c r="F34" s="1"/>
      <c r="G34" s="11">
        <f t="shared" si="0"/>
        <v>0</v>
      </c>
    </row>
    <row r="35" spans="1:7" ht="63">
      <c r="A35" s="21"/>
      <c r="B35" s="167"/>
      <c r="C35" s="84"/>
      <c r="D35" s="91" t="s">
        <v>745</v>
      </c>
      <c r="E35" s="248">
        <v>0.2</v>
      </c>
      <c r="F35" s="1"/>
      <c r="G35" s="11">
        <f t="shared" si="0"/>
        <v>0</v>
      </c>
    </row>
    <row r="36" spans="1:7">
      <c r="A36" s="27"/>
      <c r="B36" s="28" t="s">
        <v>848</v>
      </c>
      <c r="C36" s="27">
        <v>0.05</v>
      </c>
      <c r="D36" s="32"/>
      <c r="E36" s="249">
        <f>SUM(E30:E35)</f>
        <v>1</v>
      </c>
      <c r="F36" s="29" t="s">
        <v>52</v>
      </c>
      <c r="G36" s="29">
        <f>SUM(G30:G35)*C36</f>
        <v>0</v>
      </c>
    </row>
    <row r="37" spans="1:7" ht="16.5" customHeight="1">
      <c r="A37" s="21">
        <v>8</v>
      </c>
      <c r="B37" s="167" t="s">
        <v>572</v>
      </c>
      <c r="C37" s="84"/>
      <c r="D37" s="91" t="s">
        <v>746</v>
      </c>
      <c r="E37" s="84">
        <v>0.2</v>
      </c>
      <c r="F37" s="1"/>
      <c r="G37" s="11">
        <f t="shared" si="0"/>
        <v>0</v>
      </c>
    </row>
    <row r="38" spans="1:7" ht="31.5">
      <c r="A38" s="21"/>
      <c r="B38" s="167"/>
      <c r="C38" s="84"/>
      <c r="D38" s="91" t="s">
        <v>747</v>
      </c>
      <c r="E38" s="84">
        <v>0.1</v>
      </c>
      <c r="F38" s="1"/>
      <c r="G38" s="11">
        <f t="shared" si="0"/>
        <v>0</v>
      </c>
    </row>
    <row r="39" spans="1:7" ht="31.5">
      <c r="A39" s="21"/>
      <c r="B39" s="167"/>
      <c r="C39" s="84"/>
      <c r="D39" s="91" t="s">
        <v>748</v>
      </c>
      <c r="E39" s="84">
        <v>0.3</v>
      </c>
      <c r="F39" s="1"/>
      <c r="G39" s="11">
        <f t="shared" si="0"/>
        <v>0</v>
      </c>
    </row>
    <row r="40" spans="1:7" ht="47.25">
      <c r="A40" s="21"/>
      <c r="B40" s="167"/>
      <c r="C40" s="84"/>
      <c r="D40" s="91" t="s">
        <v>749</v>
      </c>
      <c r="E40" s="84">
        <v>0.2</v>
      </c>
      <c r="F40" s="1"/>
      <c r="G40" s="11">
        <f t="shared" si="0"/>
        <v>0</v>
      </c>
    </row>
    <row r="41" spans="1:7" ht="31.5">
      <c r="A41" s="21"/>
      <c r="B41" s="167"/>
      <c r="C41" s="84"/>
      <c r="D41" s="96" t="s">
        <v>750</v>
      </c>
      <c r="E41" s="84">
        <v>0.2</v>
      </c>
      <c r="F41" s="1"/>
      <c r="G41" s="11">
        <f t="shared" si="0"/>
        <v>0</v>
      </c>
    </row>
    <row r="42" spans="1:7">
      <c r="A42" s="27"/>
      <c r="B42" s="28" t="s">
        <v>848</v>
      </c>
      <c r="C42" s="27">
        <v>0.05</v>
      </c>
      <c r="D42" s="32"/>
      <c r="E42" s="249">
        <f>SUM(E37:E41)</f>
        <v>1</v>
      </c>
      <c r="F42" s="29" t="s">
        <v>53</v>
      </c>
      <c r="G42" s="29">
        <f>SUM(G37:G41)*C42</f>
        <v>0</v>
      </c>
    </row>
    <row r="43" spans="1:7" ht="156.75" customHeight="1">
      <c r="A43" s="21">
        <v>9</v>
      </c>
      <c r="B43" s="167" t="s">
        <v>573</v>
      </c>
      <c r="C43" s="84"/>
      <c r="D43" s="91" t="s">
        <v>751</v>
      </c>
      <c r="E43" s="84">
        <v>0.3</v>
      </c>
      <c r="F43" s="1"/>
      <c r="G43" s="11">
        <f t="shared" si="0"/>
        <v>0</v>
      </c>
    </row>
    <row r="44" spans="1:7" ht="31.5">
      <c r="A44" s="21"/>
      <c r="B44" s="167"/>
      <c r="C44" s="84"/>
      <c r="D44" s="91" t="s">
        <v>752</v>
      </c>
      <c r="E44" s="84">
        <v>0.7</v>
      </c>
      <c r="F44" s="1"/>
      <c r="G44" s="11">
        <f t="shared" si="0"/>
        <v>0</v>
      </c>
    </row>
    <row r="45" spans="1:7">
      <c r="A45" s="27"/>
      <c r="B45" s="28" t="s">
        <v>848</v>
      </c>
      <c r="C45" s="27">
        <v>0.05</v>
      </c>
      <c r="D45" s="32"/>
      <c r="E45" s="249">
        <f>SUM(E43:E44)</f>
        <v>1</v>
      </c>
      <c r="F45" s="29" t="s">
        <v>54</v>
      </c>
      <c r="G45" s="29">
        <f>SUM(G43:G44)*C45</f>
        <v>0</v>
      </c>
    </row>
    <row r="46" spans="1:7" ht="31.5">
      <c r="A46" s="21">
        <v>10</v>
      </c>
      <c r="B46" s="167" t="s">
        <v>574</v>
      </c>
      <c r="C46" s="84"/>
      <c r="D46" s="91" t="s">
        <v>753</v>
      </c>
      <c r="E46" s="84">
        <v>0.25</v>
      </c>
      <c r="F46" s="1"/>
      <c r="G46" s="11">
        <f t="shared" si="0"/>
        <v>0</v>
      </c>
    </row>
    <row r="47" spans="1:7" ht="50.25" customHeight="1">
      <c r="A47" s="21"/>
      <c r="B47" s="167"/>
      <c r="C47" s="84"/>
      <c r="D47" s="91" t="s">
        <v>754</v>
      </c>
      <c r="E47" s="84">
        <v>0.25</v>
      </c>
      <c r="F47" s="1"/>
      <c r="G47" s="11">
        <f t="shared" si="0"/>
        <v>0</v>
      </c>
    </row>
    <row r="48" spans="1:7" ht="47.25">
      <c r="A48" s="21"/>
      <c r="B48" s="167"/>
      <c r="C48" s="84"/>
      <c r="D48" s="91" t="s">
        <v>755</v>
      </c>
      <c r="E48" s="84">
        <v>0.25</v>
      </c>
      <c r="F48" s="1"/>
      <c r="G48" s="11">
        <f t="shared" si="0"/>
        <v>0</v>
      </c>
    </row>
    <row r="49" spans="1:7" ht="31.5">
      <c r="A49" s="21"/>
      <c r="B49" s="167"/>
      <c r="C49" s="84"/>
      <c r="D49" s="91" t="s">
        <v>756</v>
      </c>
      <c r="E49" s="248">
        <v>0.25</v>
      </c>
      <c r="F49" s="1"/>
      <c r="G49" s="11">
        <f t="shared" si="0"/>
        <v>0</v>
      </c>
    </row>
    <row r="50" spans="1:7">
      <c r="A50" s="27"/>
      <c r="B50" s="28" t="s">
        <v>848</v>
      </c>
      <c r="C50" s="27">
        <v>0.05</v>
      </c>
      <c r="D50" s="32"/>
      <c r="E50" s="249">
        <f>SUM(E46:E49)</f>
        <v>1</v>
      </c>
      <c r="F50" s="29" t="s">
        <v>55</v>
      </c>
      <c r="G50" s="29">
        <f>SUM(G46:G49)*C50</f>
        <v>0</v>
      </c>
    </row>
    <row r="51" spans="1:7" ht="64.5" customHeight="1">
      <c r="A51" s="21">
        <v>11</v>
      </c>
      <c r="B51" s="167" t="s">
        <v>575</v>
      </c>
      <c r="C51" s="84"/>
      <c r="D51" s="91" t="s">
        <v>757</v>
      </c>
      <c r="E51" s="84">
        <v>0.1</v>
      </c>
      <c r="F51" s="1"/>
      <c r="G51" s="11">
        <f t="shared" si="0"/>
        <v>0</v>
      </c>
    </row>
    <row r="52" spans="1:7" ht="47.25">
      <c r="A52" s="21"/>
      <c r="B52" s="167"/>
      <c r="C52" s="84"/>
      <c r="D52" s="91" t="s">
        <v>758</v>
      </c>
      <c r="E52" s="248">
        <v>0.1</v>
      </c>
      <c r="F52" s="1"/>
      <c r="G52" s="11">
        <f t="shared" si="0"/>
        <v>0</v>
      </c>
    </row>
    <row r="53" spans="1:7" ht="47.25">
      <c r="A53" s="21"/>
      <c r="B53" s="167"/>
      <c r="C53" s="84"/>
      <c r="D53" s="91" t="s">
        <v>759</v>
      </c>
      <c r="E53" s="248">
        <v>0.1</v>
      </c>
      <c r="F53" s="1"/>
      <c r="G53" s="11">
        <f t="shared" si="0"/>
        <v>0</v>
      </c>
    </row>
    <row r="54" spans="1:7" ht="47.25">
      <c r="A54" s="21"/>
      <c r="B54" s="167"/>
      <c r="C54" s="84"/>
      <c r="D54" s="91" t="s">
        <v>760</v>
      </c>
      <c r="E54" s="248">
        <v>0.1</v>
      </c>
      <c r="F54" s="1"/>
      <c r="G54" s="11">
        <f t="shared" si="0"/>
        <v>0</v>
      </c>
    </row>
    <row r="55" spans="1:7" ht="63">
      <c r="A55" s="21"/>
      <c r="B55" s="167"/>
      <c r="C55" s="84"/>
      <c r="D55" s="91" t="s">
        <v>761</v>
      </c>
      <c r="E55" s="248">
        <v>0.1</v>
      </c>
      <c r="F55" s="1"/>
      <c r="G55" s="11">
        <f t="shared" si="0"/>
        <v>0</v>
      </c>
    </row>
    <row r="56" spans="1:7" ht="63">
      <c r="A56" s="21"/>
      <c r="B56" s="167"/>
      <c r="C56" s="84"/>
      <c r="D56" s="91" t="s">
        <v>762</v>
      </c>
      <c r="E56" s="248">
        <v>0.1</v>
      </c>
      <c r="F56" s="1"/>
      <c r="G56" s="11">
        <f t="shared" si="0"/>
        <v>0</v>
      </c>
    </row>
    <row r="57" spans="1:7" ht="47.25">
      <c r="A57" s="21"/>
      <c r="B57" s="167"/>
      <c r="C57" s="84"/>
      <c r="D57" s="91" t="s">
        <v>763</v>
      </c>
      <c r="E57" s="248">
        <v>0.1</v>
      </c>
      <c r="F57" s="1"/>
      <c r="G57" s="11">
        <f t="shared" si="0"/>
        <v>0</v>
      </c>
    </row>
    <row r="58" spans="1:7" ht="31.5">
      <c r="A58" s="21"/>
      <c r="B58" s="167"/>
      <c r="C58" s="84"/>
      <c r="D58" s="91" t="s">
        <v>764</v>
      </c>
      <c r="E58" s="248">
        <v>0.1</v>
      </c>
      <c r="F58" s="1"/>
      <c r="G58" s="11">
        <f t="shared" si="0"/>
        <v>0</v>
      </c>
    </row>
    <row r="59" spans="1:7" ht="47.25">
      <c r="A59" s="21"/>
      <c r="B59" s="167"/>
      <c r="C59" s="84"/>
      <c r="D59" s="91" t="s">
        <v>765</v>
      </c>
      <c r="E59" s="248">
        <v>0.1</v>
      </c>
      <c r="F59" s="1"/>
      <c r="G59" s="11">
        <f t="shared" si="0"/>
        <v>0</v>
      </c>
    </row>
    <row r="60" spans="1:7" ht="47.25">
      <c r="A60" s="21"/>
      <c r="B60" s="167"/>
      <c r="C60" s="84"/>
      <c r="D60" s="91" t="s">
        <v>766</v>
      </c>
      <c r="E60" s="248">
        <v>0.1</v>
      </c>
      <c r="F60" s="1"/>
      <c r="G60" s="11">
        <f t="shared" si="0"/>
        <v>0</v>
      </c>
    </row>
    <row r="61" spans="1:7">
      <c r="A61" s="27"/>
      <c r="B61" s="28" t="s">
        <v>848</v>
      </c>
      <c r="C61" s="27">
        <v>0.1</v>
      </c>
      <c r="D61" s="32"/>
      <c r="E61" s="249">
        <f>SUM(E51:E60)</f>
        <v>0.99999999999999989</v>
      </c>
      <c r="F61" s="29" t="s">
        <v>56</v>
      </c>
      <c r="G61" s="29">
        <f>SUM(G51:G60)*C61</f>
        <v>0</v>
      </c>
    </row>
    <row r="62" spans="1:7" s="101" customFormat="1">
      <c r="A62" s="246"/>
      <c r="B62" s="36" t="s">
        <v>443</v>
      </c>
      <c r="C62" s="246">
        <f>SUBTOTAL(9,C8,C12,C14,C17,C23,C29,C36,C42,C45,C50,C61)</f>
        <v>1.0000000000000002</v>
      </c>
      <c r="D62" s="38"/>
      <c r="E62" s="246">
        <v>11</v>
      </c>
      <c r="F62" s="38"/>
      <c r="G62" s="39">
        <f>SUBTOTAL(9,G8,G12,G14,G17,G23,G29,G36,G42,G45,G50,G61)</f>
        <v>0</v>
      </c>
    </row>
    <row r="63" spans="1:7" s="101" customFormat="1" ht="14.25" customHeight="1">
      <c r="A63" s="21"/>
      <c r="B63" s="26" t="s">
        <v>444</v>
      </c>
      <c r="C63" s="18"/>
      <c r="D63" s="10"/>
      <c r="E63" s="21"/>
      <c r="F63" s="3"/>
      <c r="G63" s="21" t="str">
        <f>IF(G62&lt;=0.5,"низький",IF(G62&lt;=0.75,"середній",(IF(G62&lt;=0.95,"достатній",(IF(G62&lt;=1,"високий"))))))</f>
        <v>низький</v>
      </c>
    </row>
    <row r="64" spans="1:7" s="302" customFormat="1">
      <c r="A64" s="288" t="s">
        <v>182</v>
      </c>
      <c r="B64" s="289"/>
      <c r="C64" s="342"/>
      <c r="E64" s="343"/>
      <c r="F64" s="344"/>
      <c r="G64" s="112"/>
    </row>
    <row r="65" spans="1:7" s="302" customFormat="1" ht="17.25">
      <c r="A65" s="345" t="s">
        <v>589</v>
      </c>
      <c r="B65" s="346"/>
      <c r="C65" s="347"/>
      <c r="D65" s="303"/>
      <c r="E65" s="348"/>
      <c r="F65" s="349"/>
      <c r="G65" s="112"/>
    </row>
    <row r="66" spans="1:7" s="302" customFormat="1" ht="17.25">
      <c r="A66" s="345" t="s">
        <v>590</v>
      </c>
      <c r="B66" s="346"/>
      <c r="C66" s="347"/>
      <c r="D66" s="303"/>
      <c r="E66" s="348"/>
      <c r="F66" s="349"/>
      <c r="G66" s="112"/>
    </row>
    <row r="67" spans="1:7" s="302" customFormat="1" ht="17.25">
      <c r="A67" s="345" t="s">
        <v>591</v>
      </c>
      <c r="B67" s="346"/>
      <c r="C67" s="347"/>
      <c r="D67" s="303"/>
      <c r="E67" s="348"/>
      <c r="F67" s="349"/>
      <c r="G67" s="112"/>
    </row>
    <row r="68" spans="1:7" s="302" customFormat="1" ht="17.25">
      <c r="A68" s="345" t="s">
        <v>592</v>
      </c>
      <c r="B68" s="346"/>
      <c r="C68" s="347"/>
      <c r="D68" s="303"/>
      <c r="E68" s="348"/>
      <c r="F68" s="349"/>
      <c r="G68" s="112"/>
    </row>
    <row r="69" spans="1:7" s="302" customFormat="1" ht="17.25">
      <c r="A69" s="345" t="s">
        <v>593</v>
      </c>
      <c r="B69" s="346"/>
      <c r="C69" s="347"/>
      <c r="D69" s="303"/>
      <c r="E69" s="348"/>
      <c r="F69" s="349"/>
      <c r="G69" s="112"/>
    </row>
    <row r="70" spans="1:7" s="302" customFormat="1" ht="17.25">
      <c r="A70" s="345" t="s">
        <v>594</v>
      </c>
      <c r="B70" s="346"/>
      <c r="C70" s="347"/>
      <c r="D70" s="303"/>
      <c r="E70" s="348"/>
      <c r="F70" s="349"/>
      <c r="G70" s="112"/>
    </row>
    <row r="71" spans="1:7" s="302" customFormat="1" ht="17.25">
      <c r="A71" s="345" t="s">
        <v>595</v>
      </c>
      <c r="B71" s="346"/>
      <c r="C71" s="347"/>
      <c r="D71" s="303"/>
      <c r="E71" s="348"/>
      <c r="F71" s="349"/>
      <c r="G71" s="112"/>
    </row>
    <row r="72" spans="1:7" s="302" customFormat="1">
      <c r="A72" s="350" t="s">
        <v>596</v>
      </c>
      <c r="B72" s="346"/>
      <c r="C72" s="347"/>
      <c r="D72" s="303"/>
      <c r="E72" s="348"/>
      <c r="F72" s="349"/>
      <c r="G72" s="112"/>
    </row>
    <row r="73" spans="1:7" s="302" customFormat="1">
      <c r="A73" s="345" t="s">
        <v>597</v>
      </c>
      <c r="B73" s="346"/>
      <c r="C73" s="347"/>
      <c r="D73" s="303"/>
      <c r="E73" s="348"/>
      <c r="F73" s="349"/>
      <c r="G73" s="112"/>
    </row>
    <row r="74" spans="1:7" s="302" customFormat="1">
      <c r="A74" s="288" t="s">
        <v>792</v>
      </c>
      <c r="B74" s="346"/>
      <c r="C74" s="347"/>
      <c r="D74" s="303"/>
      <c r="E74" s="348"/>
      <c r="F74" s="349"/>
      <c r="G74" s="112"/>
    </row>
    <row r="75" spans="1:7" s="302" customFormat="1">
      <c r="A75" s="288" t="s">
        <v>793</v>
      </c>
      <c r="B75" s="346"/>
      <c r="C75" s="347"/>
      <c r="D75" s="303"/>
      <c r="E75" s="348"/>
      <c r="F75" s="349"/>
      <c r="G75" s="112"/>
    </row>
    <row r="76" spans="1:7" s="302" customFormat="1">
      <c r="A76" s="288" t="s">
        <v>794</v>
      </c>
      <c r="B76" s="346"/>
      <c r="C76" s="347"/>
      <c r="D76" s="303"/>
      <c r="E76" s="348"/>
      <c r="F76" s="349"/>
      <c r="G76" s="112"/>
    </row>
    <row r="77" spans="1:7" s="302" customFormat="1">
      <c r="A77" s="342"/>
      <c r="B77" s="342" t="s">
        <v>20</v>
      </c>
      <c r="C77" s="342"/>
      <c r="D77" s="342"/>
      <c r="E77" s="342"/>
      <c r="F77" s="342"/>
      <c r="G77" s="342"/>
    </row>
    <row r="78" spans="1:7" s="302" customFormat="1">
      <c r="A78" s="351"/>
      <c r="B78" s="351"/>
      <c r="C78" s="351"/>
      <c r="D78" s="351"/>
      <c r="E78" s="351"/>
      <c r="F78" s="351"/>
      <c r="G78" s="351"/>
    </row>
    <row r="79" spans="1:7" s="302" customFormat="1">
      <c r="A79" s="351"/>
      <c r="B79" s="351"/>
      <c r="C79" s="351"/>
      <c r="D79" s="351"/>
      <c r="E79" s="351"/>
      <c r="F79" s="351"/>
      <c r="G79" s="351"/>
    </row>
    <row r="80" spans="1:7" s="302" customFormat="1">
      <c r="A80" s="351"/>
      <c r="B80" s="351"/>
      <c r="C80" s="351"/>
      <c r="D80" s="351"/>
      <c r="E80" s="351"/>
      <c r="F80" s="351"/>
      <c r="G80" s="351"/>
    </row>
    <row r="81" spans="1:7" s="302" customFormat="1">
      <c r="A81" s="351"/>
      <c r="B81" s="351"/>
      <c r="C81" s="351"/>
      <c r="D81" s="351"/>
      <c r="E81" s="351"/>
      <c r="F81" s="351"/>
      <c r="G81" s="351"/>
    </row>
    <row r="82" spans="1:7" s="302" customFormat="1">
      <c r="A82" s="351"/>
      <c r="B82" s="351"/>
      <c r="C82" s="351"/>
      <c r="D82" s="351"/>
      <c r="E82" s="351"/>
      <c r="F82" s="351"/>
      <c r="G82" s="351"/>
    </row>
    <row r="83" spans="1:7" s="302" customFormat="1">
      <c r="A83" s="351"/>
      <c r="B83" s="351"/>
      <c r="C83" s="351"/>
      <c r="D83" s="351"/>
      <c r="E83" s="351"/>
      <c r="F83" s="351"/>
      <c r="G83" s="351"/>
    </row>
    <row r="84" spans="1:7" s="302" customFormat="1">
      <c r="A84" s="351"/>
      <c r="B84" s="351"/>
      <c r="C84" s="351"/>
      <c r="D84" s="351"/>
      <c r="E84" s="351"/>
      <c r="F84" s="351"/>
      <c r="G84" s="351"/>
    </row>
    <row r="85" spans="1:7" s="302" customFormat="1">
      <c r="A85" s="351"/>
      <c r="B85" s="351"/>
      <c r="C85" s="351"/>
      <c r="D85" s="351"/>
      <c r="E85" s="351"/>
      <c r="F85" s="351"/>
      <c r="G85" s="351"/>
    </row>
    <row r="86" spans="1:7" s="302" customFormat="1">
      <c r="A86" s="351"/>
      <c r="B86" s="351"/>
      <c r="C86" s="351"/>
      <c r="D86" s="351"/>
      <c r="E86" s="351"/>
      <c r="F86" s="351"/>
      <c r="G86" s="351"/>
    </row>
    <row r="87" spans="1:7" s="302" customFormat="1">
      <c r="A87" s="351"/>
      <c r="B87" s="351"/>
      <c r="C87" s="351"/>
      <c r="D87" s="351"/>
      <c r="E87" s="351"/>
      <c r="F87" s="351"/>
      <c r="G87" s="351"/>
    </row>
    <row r="88" spans="1:7" s="302" customFormat="1">
      <c r="A88" s="351"/>
      <c r="B88" s="351"/>
      <c r="C88" s="351"/>
      <c r="D88" s="351"/>
      <c r="E88" s="351"/>
      <c r="F88" s="351"/>
      <c r="G88" s="351"/>
    </row>
    <row r="89" spans="1:7" s="302" customFormat="1">
      <c r="A89" s="351"/>
      <c r="B89" s="351"/>
      <c r="C89" s="351"/>
      <c r="D89" s="351"/>
      <c r="E89" s="351"/>
      <c r="F89" s="351"/>
      <c r="G89" s="351"/>
    </row>
    <row r="90" spans="1:7" s="302" customFormat="1">
      <c r="A90" s="351"/>
      <c r="B90" s="351"/>
      <c r="C90" s="351"/>
      <c r="D90" s="351"/>
      <c r="E90" s="351"/>
      <c r="F90" s="351"/>
      <c r="G90" s="351"/>
    </row>
    <row r="91" spans="1:7" s="302" customFormat="1">
      <c r="A91" s="351"/>
      <c r="B91" s="351"/>
      <c r="C91" s="351"/>
      <c r="D91" s="351"/>
      <c r="E91" s="351"/>
      <c r="F91" s="351"/>
      <c r="G91" s="351"/>
    </row>
    <row r="92" spans="1:7" s="302" customFormat="1">
      <c r="A92" s="342"/>
      <c r="B92" s="352" t="s">
        <v>2418</v>
      </c>
      <c r="C92" s="352"/>
      <c r="D92" s="352"/>
      <c r="E92" s="352"/>
      <c r="F92" s="352"/>
      <c r="G92" s="352"/>
    </row>
    <row r="93" spans="1:7" s="302" customFormat="1">
      <c r="A93" s="342"/>
      <c r="B93" s="353"/>
      <c r="C93" s="353"/>
      <c r="D93" s="353"/>
      <c r="E93" s="353"/>
      <c r="F93" s="353"/>
      <c r="G93" s="353"/>
    </row>
    <row r="94" spans="1:7" s="302" customFormat="1">
      <c r="A94" s="342"/>
      <c r="B94" s="352" t="s">
        <v>22</v>
      </c>
      <c r="C94" s="352"/>
      <c r="D94" s="352"/>
      <c r="E94" s="352"/>
      <c r="F94" s="352"/>
      <c r="G94" s="352"/>
    </row>
    <row r="95" spans="1:7" s="302" customFormat="1">
      <c r="A95" s="342"/>
      <c r="B95" s="353"/>
      <c r="C95" s="353"/>
      <c r="D95" s="353"/>
      <c r="E95" s="353"/>
      <c r="F95" s="353"/>
      <c r="G95" s="353"/>
    </row>
    <row r="96" spans="1:7" s="302" customFormat="1">
      <c r="A96" s="342"/>
      <c r="B96" s="352" t="s">
        <v>23</v>
      </c>
      <c r="C96" s="352"/>
      <c r="D96" s="352"/>
      <c r="E96" s="352"/>
      <c r="F96" s="352"/>
      <c r="G96" s="352"/>
    </row>
    <row r="97" spans="1:7" s="302" customFormat="1">
      <c r="A97" s="342"/>
      <c r="B97" s="352" t="s">
        <v>24</v>
      </c>
      <c r="C97" s="352"/>
      <c r="D97" s="352"/>
      <c r="E97" s="352"/>
      <c r="F97" s="352"/>
      <c r="G97" s="352"/>
    </row>
    <row r="98" spans="1:7" s="303" customFormat="1">
      <c r="A98" s="346"/>
      <c r="B98" s="346"/>
      <c r="E98" s="333"/>
    </row>
    <row r="99" spans="1:7" s="101" customFormat="1">
      <c r="A99" s="290"/>
      <c r="B99" s="289"/>
      <c r="C99" s="63"/>
      <c r="E99" s="63"/>
    </row>
    <row r="100" spans="1:7" s="101" customFormat="1">
      <c r="A100" s="290"/>
      <c r="B100" s="289"/>
      <c r="C100" s="63"/>
      <c r="E100" s="63"/>
    </row>
    <row r="101" spans="1:7" s="101" customFormat="1">
      <c r="A101" s="290"/>
      <c r="B101" s="289"/>
      <c r="C101" s="63"/>
      <c r="E101" s="63"/>
    </row>
  </sheetData>
  <autoFilter ref="A4:G77"/>
  <mergeCells count="2">
    <mergeCell ref="A1:G1"/>
    <mergeCell ref="A2:G2"/>
  </mergeCells>
  <phoneticPr fontId="4" type="noConversion"/>
  <pageMargins left="0.7" right="0.7" top="0.75" bottom="0.75" header="0.3" footer="0.3"/>
  <pageSetup paperSize="9" scale="65" orientation="portrait" r:id="rId1"/>
</worksheet>
</file>

<file path=xl/worksheets/sheet41.xml><?xml version="1.0" encoding="utf-8"?>
<worksheet xmlns="http://schemas.openxmlformats.org/spreadsheetml/2006/main" xmlns:r="http://schemas.openxmlformats.org/officeDocument/2006/relationships">
  <dimension ref="A1:G56"/>
  <sheetViews>
    <sheetView zoomScale="80" zoomScaleNormal="80" workbookViewId="0">
      <selection activeCell="F5" sqref="F5"/>
    </sheetView>
  </sheetViews>
  <sheetFormatPr defaultRowHeight="15.75"/>
  <cols>
    <col min="1" max="1" width="7" style="252" bestFit="1" customWidth="1"/>
    <col min="2" max="2" width="20.85546875" style="267" customWidth="1"/>
    <col min="3" max="3" width="13.28515625" style="252" customWidth="1"/>
    <col min="4" max="4" width="40.42578125" style="266" customWidth="1"/>
    <col min="5" max="5" width="16.42578125" style="268" customWidth="1"/>
    <col min="6" max="6" width="17.7109375" style="266" customWidth="1"/>
    <col min="7" max="7" width="13.5703125" style="266" bestFit="1" customWidth="1"/>
    <col min="8" max="16384" width="9.140625" style="266"/>
  </cols>
  <sheetData>
    <row r="1" spans="1:7" ht="15.75" customHeight="1">
      <c r="A1" s="1351" t="s">
        <v>446</v>
      </c>
      <c r="B1" s="1351"/>
      <c r="C1" s="1351"/>
      <c r="D1" s="1351"/>
      <c r="E1" s="1351"/>
      <c r="F1" s="1351"/>
      <c r="G1" s="1351"/>
    </row>
    <row r="2" spans="1:7" ht="61.5" customHeight="1">
      <c r="A2" s="1351" t="s">
        <v>1608</v>
      </c>
      <c r="B2" s="1351"/>
      <c r="C2" s="1351"/>
      <c r="D2" s="1351"/>
      <c r="E2" s="1351"/>
      <c r="F2" s="1351"/>
      <c r="G2" s="1351"/>
    </row>
    <row r="4" spans="1:7" ht="47.25" customHeight="1">
      <c r="A4" s="257" t="s">
        <v>434</v>
      </c>
      <c r="B4" s="257" t="s">
        <v>338</v>
      </c>
      <c r="C4" s="257" t="s">
        <v>771</v>
      </c>
      <c r="D4" s="257" t="s">
        <v>333</v>
      </c>
      <c r="E4" s="93" t="s">
        <v>337</v>
      </c>
      <c r="F4" s="257" t="s">
        <v>770</v>
      </c>
      <c r="G4" s="257" t="s">
        <v>82</v>
      </c>
    </row>
    <row r="5" spans="1:7" ht="110.25">
      <c r="A5" s="258">
        <v>1</v>
      </c>
      <c r="B5" s="259" t="s">
        <v>621</v>
      </c>
      <c r="C5" s="260"/>
      <c r="D5" s="270" t="s">
        <v>599</v>
      </c>
      <c r="E5" s="4">
        <v>0.1</v>
      </c>
      <c r="F5" s="4"/>
      <c r="G5" s="17">
        <f>F5*E5</f>
        <v>0</v>
      </c>
    </row>
    <row r="6" spans="1:7">
      <c r="A6" s="258"/>
      <c r="B6" s="259"/>
      <c r="C6" s="260"/>
      <c r="D6" s="261" t="s">
        <v>600</v>
      </c>
      <c r="E6" s="4">
        <v>0.15</v>
      </c>
      <c r="F6" s="4"/>
      <c r="G6" s="17">
        <f t="shared" ref="G6:G18" si="0">F6*E6</f>
        <v>0</v>
      </c>
    </row>
    <row r="7" spans="1:7" ht="110.25">
      <c r="A7" s="258"/>
      <c r="B7" s="259"/>
      <c r="C7" s="260"/>
      <c r="D7" s="261" t="s">
        <v>601</v>
      </c>
      <c r="E7" s="4">
        <v>0.2</v>
      </c>
      <c r="F7" s="4"/>
      <c r="G7" s="17">
        <f t="shared" si="0"/>
        <v>0</v>
      </c>
    </row>
    <row r="8" spans="1:7" ht="47.25">
      <c r="A8" s="258"/>
      <c r="B8" s="259"/>
      <c r="C8" s="260"/>
      <c r="D8" s="261" t="s">
        <v>602</v>
      </c>
      <c r="E8" s="4">
        <v>0.2</v>
      </c>
      <c r="F8" s="4"/>
      <c r="G8" s="17">
        <f t="shared" si="0"/>
        <v>0</v>
      </c>
    </row>
    <row r="9" spans="1:7" ht="47.25">
      <c r="A9" s="258"/>
      <c r="B9" s="259"/>
      <c r="C9" s="260"/>
      <c r="D9" s="261" t="s">
        <v>603</v>
      </c>
      <c r="E9" s="4">
        <v>0.15</v>
      </c>
      <c r="F9" s="4"/>
      <c r="G9" s="17">
        <f t="shared" si="0"/>
        <v>0</v>
      </c>
    </row>
    <row r="10" spans="1:7" ht="47.25">
      <c r="A10" s="258"/>
      <c r="B10" s="259"/>
      <c r="C10" s="260"/>
      <c r="D10" s="261" t="s">
        <v>604</v>
      </c>
      <c r="E10" s="4">
        <v>0.2</v>
      </c>
      <c r="F10" s="4"/>
      <c r="G10" s="17">
        <f t="shared" si="0"/>
        <v>0</v>
      </c>
    </row>
    <row r="11" spans="1:7">
      <c r="A11" s="249"/>
      <c r="B11" s="44" t="s">
        <v>848</v>
      </c>
      <c r="C11" s="249">
        <v>0.5</v>
      </c>
      <c r="D11" s="33"/>
      <c r="E11" s="34">
        <f>SUM(E5:E10)</f>
        <v>1</v>
      </c>
      <c r="F11" s="34" t="s">
        <v>46</v>
      </c>
      <c r="G11" s="34">
        <f>SUM(G5:G10)*C11</f>
        <v>0</v>
      </c>
    </row>
    <row r="12" spans="1:7" ht="47.25">
      <c r="A12" s="258">
        <v>2</v>
      </c>
      <c r="B12" s="259" t="s">
        <v>832</v>
      </c>
      <c r="C12" s="260"/>
      <c r="D12" s="270" t="s">
        <v>605</v>
      </c>
      <c r="E12" s="4">
        <v>0.1</v>
      </c>
      <c r="F12" s="4"/>
      <c r="G12" s="17">
        <f t="shared" si="0"/>
        <v>0</v>
      </c>
    </row>
    <row r="13" spans="1:7" ht="31.5">
      <c r="A13" s="258"/>
      <c r="B13" s="259"/>
      <c r="C13" s="260"/>
      <c r="D13" s="270" t="s">
        <v>606</v>
      </c>
      <c r="E13" s="4">
        <v>0.2</v>
      </c>
      <c r="F13" s="4"/>
      <c r="G13" s="17">
        <f t="shared" si="0"/>
        <v>0</v>
      </c>
    </row>
    <row r="14" spans="1:7" ht="31.5">
      <c r="A14" s="258"/>
      <c r="B14" s="259"/>
      <c r="C14" s="260"/>
      <c r="D14" s="261" t="s">
        <v>607</v>
      </c>
      <c r="E14" s="4">
        <v>0.1</v>
      </c>
      <c r="F14" s="4"/>
      <c r="G14" s="17">
        <f t="shared" si="0"/>
        <v>0</v>
      </c>
    </row>
    <row r="15" spans="1:7" ht="63">
      <c r="A15" s="258"/>
      <c r="B15" s="259"/>
      <c r="C15" s="260"/>
      <c r="D15" s="261" t="s">
        <v>608</v>
      </c>
      <c r="E15" s="4">
        <v>0.1</v>
      </c>
      <c r="F15" s="4"/>
      <c r="G15" s="17">
        <f t="shared" si="0"/>
        <v>0</v>
      </c>
    </row>
    <row r="16" spans="1:7" ht="31.5">
      <c r="A16" s="258"/>
      <c r="B16" s="259"/>
      <c r="C16" s="260"/>
      <c r="D16" s="261" t="s">
        <v>609</v>
      </c>
      <c r="E16" s="4">
        <v>0.2</v>
      </c>
      <c r="F16" s="4"/>
      <c r="G16" s="17">
        <f t="shared" si="0"/>
        <v>0</v>
      </c>
    </row>
    <row r="17" spans="1:7" ht="31.5">
      <c r="A17" s="258"/>
      <c r="B17" s="259"/>
      <c r="C17" s="260"/>
      <c r="D17" s="271" t="s">
        <v>610</v>
      </c>
      <c r="E17" s="245">
        <v>0.1</v>
      </c>
      <c r="F17" s="4"/>
      <c r="G17" s="17">
        <f t="shared" si="0"/>
        <v>0</v>
      </c>
    </row>
    <row r="18" spans="1:7" ht="37.5" customHeight="1">
      <c r="A18" s="258"/>
      <c r="B18" s="259"/>
      <c r="C18" s="260"/>
      <c r="D18" s="261" t="s">
        <v>611</v>
      </c>
      <c r="E18" s="4">
        <v>0.2</v>
      </c>
      <c r="F18" s="4"/>
      <c r="G18" s="17">
        <f t="shared" si="0"/>
        <v>0</v>
      </c>
    </row>
    <row r="19" spans="1:7">
      <c r="A19" s="249"/>
      <c r="B19" s="44" t="s">
        <v>848</v>
      </c>
      <c r="C19" s="249">
        <v>0.5</v>
      </c>
      <c r="D19" s="33"/>
      <c r="E19" s="34">
        <f>SUM(E12:E18)</f>
        <v>1</v>
      </c>
      <c r="F19" s="34" t="s">
        <v>47</v>
      </c>
      <c r="G19" s="34">
        <f>SUM(G12:G18)*C19</f>
        <v>0</v>
      </c>
    </row>
    <row r="20" spans="1:7">
      <c r="A20" s="262"/>
      <c r="B20" s="263" t="s">
        <v>443</v>
      </c>
      <c r="C20" s="262">
        <f>SUM(C11+C19)</f>
        <v>1</v>
      </c>
      <c r="D20" s="264"/>
      <c r="E20" s="265">
        <v>4</v>
      </c>
      <c r="F20" s="264"/>
      <c r="G20" s="265">
        <f>SUM(G11+G19)</f>
        <v>0</v>
      </c>
    </row>
    <row r="21" spans="1:7" ht="14.25" customHeight="1">
      <c r="A21" s="258"/>
      <c r="B21" s="24" t="s">
        <v>444</v>
      </c>
      <c r="C21" s="95"/>
      <c r="D21" s="13"/>
      <c r="E21" s="17"/>
      <c r="F21" s="4"/>
      <c r="G21" s="21" t="str">
        <f>IF(G20&lt;=0.5,"низький",IF(G20&lt;=0.75,"середній",(IF(G20&lt;=0.95,"достатній",(IF(G20&lt;=1,"високий"))))))</f>
        <v>низький</v>
      </c>
    </row>
    <row r="22" spans="1:7" s="302" customFormat="1">
      <c r="A22" s="288" t="s">
        <v>182</v>
      </c>
      <c r="B22" s="289"/>
      <c r="C22" s="342"/>
      <c r="E22" s="343"/>
      <c r="F22" s="344"/>
      <c r="G22" s="112"/>
    </row>
    <row r="23" spans="1:7" s="302" customFormat="1" ht="17.25">
      <c r="A23" s="345" t="s">
        <v>589</v>
      </c>
      <c r="B23" s="346"/>
      <c r="C23" s="347"/>
      <c r="D23" s="303"/>
      <c r="E23" s="348"/>
      <c r="F23" s="349"/>
      <c r="G23" s="112"/>
    </row>
    <row r="24" spans="1:7" s="302" customFormat="1" ht="17.25">
      <c r="A24" s="345" t="s">
        <v>590</v>
      </c>
      <c r="B24" s="346"/>
      <c r="C24" s="347"/>
      <c r="D24" s="303"/>
      <c r="E24" s="348"/>
      <c r="F24" s="349"/>
      <c r="G24" s="112"/>
    </row>
    <row r="25" spans="1:7" s="302" customFormat="1" ht="17.25">
      <c r="A25" s="345" t="s">
        <v>591</v>
      </c>
      <c r="B25" s="346"/>
      <c r="C25" s="347"/>
      <c r="D25" s="303"/>
      <c r="E25" s="348"/>
      <c r="F25" s="349"/>
      <c r="G25" s="112"/>
    </row>
    <row r="26" spans="1:7" s="302" customFormat="1" ht="17.25">
      <c r="A26" s="345" t="s">
        <v>592</v>
      </c>
      <c r="B26" s="346"/>
      <c r="C26" s="347"/>
      <c r="D26" s="303"/>
      <c r="E26" s="348"/>
      <c r="F26" s="349"/>
      <c r="G26" s="112"/>
    </row>
    <row r="27" spans="1:7" s="302" customFormat="1" ht="17.25">
      <c r="A27" s="345" t="s">
        <v>593</v>
      </c>
      <c r="B27" s="346"/>
      <c r="C27" s="347"/>
      <c r="D27" s="303"/>
      <c r="E27" s="348"/>
      <c r="F27" s="349"/>
      <c r="G27" s="112"/>
    </row>
    <row r="28" spans="1:7" s="302" customFormat="1" ht="17.25">
      <c r="A28" s="345" t="s">
        <v>594</v>
      </c>
      <c r="B28" s="346"/>
      <c r="C28" s="347"/>
      <c r="D28" s="303"/>
      <c r="E28" s="348"/>
      <c r="F28" s="349"/>
      <c r="G28" s="112"/>
    </row>
    <row r="29" spans="1:7" s="302" customFormat="1" ht="17.25">
      <c r="A29" s="345" t="s">
        <v>595</v>
      </c>
      <c r="B29" s="346"/>
      <c r="C29" s="347"/>
      <c r="D29" s="303"/>
      <c r="E29" s="348"/>
      <c r="F29" s="349"/>
      <c r="G29" s="112"/>
    </row>
    <row r="30" spans="1:7" s="302" customFormat="1">
      <c r="A30" s="350" t="s">
        <v>596</v>
      </c>
      <c r="B30" s="346"/>
      <c r="C30" s="347"/>
      <c r="D30" s="303"/>
      <c r="E30" s="348"/>
      <c r="F30" s="349"/>
      <c r="G30" s="112"/>
    </row>
    <row r="31" spans="1:7" s="302" customFormat="1">
      <c r="A31" s="345" t="s">
        <v>597</v>
      </c>
      <c r="B31" s="346"/>
      <c r="C31" s="347"/>
      <c r="D31" s="303"/>
      <c r="E31" s="348"/>
      <c r="F31" s="349"/>
      <c r="G31" s="112"/>
    </row>
    <row r="32" spans="1:7" s="302" customFormat="1">
      <c r="A32" s="288" t="s">
        <v>792</v>
      </c>
      <c r="B32" s="346"/>
      <c r="C32" s="347"/>
      <c r="D32" s="303"/>
      <c r="E32" s="348"/>
      <c r="F32" s="349"/>
      <c r="G32" s="112"/>
    </row>
    <row r="33" spans="1:7" s="302" customFormat="1">
      <c r="A33" s="288" t="s">
        <v>793</v>
      </c>
      <c r="B33" s="346"/>
      <c r="C33" s="347"/>
      <c r="D33" s="303"/>
      <c r="E33" s="348"/>
      <c r="F33" s="349"/>
      <c r="G33" s="112"/>
    </row>
    <row r="34" spans="1:7" s="302" customFormat="1">
      <c r="A34" s="288" t="s">
        <v>794</v>
      </c>
      <c r="B34" s="346"/>
      <c r="C34" s="347"/>
      <c r="D34" s="303"/>
      <c r="E34" s="348"/>
      <c r="F34" s="349"/>
      <c r="G34" s="112"/>
    </row>
    <row r="35" spans="1:7" s="302" customFormat="1">
      <c r="A35" s="342"/>
      <c r="B35" s="342" t="s">
        <v>20</v>
      </c>
      <c r="C35" s="342"/>
      <c r="D35" s="342"/>
      <c r="E35" s="342"/>
      <c r="F35" s="342"/>
      <c r="G35" s="342"/>
    </row>
    <row r="36" spans="1:7" s="302" customFormat="1">
      <c r="A36" s="351"/>
      <c r="B36" s="351"/>
      <c r="C36" s="351"/>
      <c r="D36" s="351"/>
      <c r="E36" s="351"/>
      <c r="F36" s="351"/>
      <c r="G36" s="351"/>
    </row>
    <row r="37" spans="1:7" s="302" customFormat="1">
      <c r="A37" s="351"/>
      <c r="B37" s="351"/>
      <c r="C37" s="351"/>
      <c r="D37" s="351"/>
      <c r="E37" s="351"/>
      <c r="F37" s="351"/>
      <c r="G37" s="351"/>
    </row>
    <row r="38" spans="1:7" s="302" customFormat="1">
      <c r="A38" s="351"/>
      <c r="B38" s="351"/>
      <c r="C38" s="351"/>
      <c r="D38" s="351"/>
      <c r="E38" s="351"/>
      <c r="F38" s="351"/>
      <c r="G38" s="351"/>
    </row>
    <row r="39" spans="1:7" s="302" customFormat="1">
      <c r="A39" s="351"/>
      <c r="B39" s="351"/>
      <c r="C39" s="351"/>
      <c r="D39" s="351"/>
      <c r="E39" s="351"/>
      <c r="F39" s="351"/>
      <c r="G39" s="351"/>
    </row>
    <row r="40" spans="1:7" s="302" customFormat="1">
      <c r="A40" s="351"/>
      <c r="B40" s="351"/>
      <c r="C40" s="351"/>
      <c r="D40" s="351"/>
      <c r="E40" s="351"/>
      <c r="F40" s="351"/>
      <c r="G40" s="351"/>
    </row>
    <row r="41" spans="1:7" s="302" customFormat="1">
      <c r="A41" s="351"/>
      <c r="B41" s="351"/>
      <c r="C41" s="351"/>
      <c r="D41" s="351"/>
      <c r="E41" s="351"/>
      <c r="F41" s="351"/>
      <c r="G41" s="351"/>
    </row>
    <row r="42" spans="1:7" s="302" customFormat="1">
      <c r="A42" s="351"/>
      <c r="B42" s="351"/>
      <c r="C42" s="351"/>
      <c r="D42" s="351"/>
      <c r="E42" s="351"/>
      <c r="F42" s="351"/>
      <c r="G42" s="351"/>
    </row>
    <row r="43" spans="1:7" s="302" customFormat="1">
      <c r="A43" s="351"/>
      <c r="B43" s="351"/>
      <c r="C43" s="351"/>
      <c r="D43" s="351"/>
      <c r="E43" s="351"/>
      <c r="F43" s="351"/>
      <c r="G43" s="351"/>
    </row>
    <row r="44" spans="1:7" s="302" customFormat="1">
      <c r="A44" s="351"/>
      <c r="B44" s="351"/>
      <c r="C44" s="351"/>
      <c r="D44" s="351"/>
      <c r="E44" s="351"/>
      <c r="F44" s="351"/>
      <c r="G44" s="351"/>
    </row>
    <row r="45" spans="1:7" s="302" customFormat="1">
      <c r="A45" s="351"/>
      <c r="B45" s="351"/>
      <c r="C45" s="351"/>
      <c r="D45" s="351"/>
      <c r="E45" s="351"/>
      <c r="F45" s="351"/>
      <c r="G45" s="351"/>
    </row>
    <row r="46" spans="1:7" s="302" customFormat="1">
      <c r="A46" s="351"/>
      <c r="B46" s="351"/>
      <c r="C46" s="351"/>
      <c r="D46" s="351"/>
      <c r="E46" s="351"/>
      <c r="F46" s="351"/>
      <c r="G46" s="351"/>
    </row>
    <row r="47" spans="1:7" s="302" customFormat="1">
      <c r="A47" s="351"/>
      <c r="B47" s="351"/>
      <c r="C47" s="351"/>
      <c r="D47" s="351"/>
      <c r="E47" s="351"/>
      <c r="F47" s="351"/>
      <c r="G47" s="351"/>
    </row>
    <row r="48" spans="1:7" s="302" customFormat="1">
      <c r="A48" s="351"/>
      <c r="B48" s="351"/>
      <c r="C48" s="351"/>
      <c r="D48" s="351"/>
      <c r="E48" s="351"/>
      <c r="F48" s="351"/>
      <c r="G48" s="351"/>
    </row>
    <row r="49" spans="1:7" s="302" customFormat="1">
      <c r="A49" s="351"/>
      <c r="B49" s="351"/>
      <c r="C49" s="351"/>
      <c r="D49" s="351"/>
      <c r="E49" s="351"/>
      <c r="F49" s="351"/>
      <c r="G49" s="351"/>
    </row>
    <row r="50" spans="1:7" s="302" customFormat="1">
      <c r="A50" s="342"/>
      <c r="B50" s="352" t="s">
        <v>2418</v>
      </c>
      <c r="C50" s="352"/>
      <c r="D50" s="352"/>
      <c r="E50" s="352"/>
      <c r="F50" s="352"/>
      <c r="G50" s="352"/>
    </row>
    <row r="51" spans="1:7" s="302" customFormat="1">
      <c r="A51" s="342"/>
      <c r="B51" s="353"/>
      <c r="C51" s="353"/>
      <c r="D51" s="353"/>
      <c r="E51" s="353"/>
      <c r="F51" s="353"/>
      <c r="G51" s="353"/>
    </row>
    <row r="52" spans="1:7" s="302" customFormat="1">
      <c r="A52" s="342"/>
      <c r="B52" s="352" t="s">
        <v>22</v>
      </c>
      <c r="C52" s="352"/>
      <c r="D52" s="352"/>
      <c r="E52" s="352"/>
      <c r="F52" s="352"/>
      <c r="G52" s="352"/>
    </row>
    <row r="53" spans="1:7" s="302" customFormat="1">
      <c r="A53" s="342"/>
      <c r="B53" s="353"/>
      <c r="C53" s="353"/>
      <c r="D53" s="353"/>
      <c r="E53" s="353"/>
      <c r="F53" s="353"/>
      <c r="G53" s="353"/>
    </row>
    <row r="54" spans="1:7" s="302" customFormat="1">
      <c r="A54" s="342"/>
      <c r="B54" s="352" t="s">
        <v>23</v>
      </c>
      <c r="C54" s="352"/>
      <c r="D54" s="352"/>
      <c r="E54" s="352"/>
      <c r="F54" s="352"/>
      <c r="G54" s="352"/>
    </row>
    <row r="55" spans="1:7" s="302" customFormat="1">
      <c r="A55" s="342"/>
      <c r="B55" s="352" t="s">
        <v>24</v>
      </c>
      <c r="C55" s="352"/>
      <c r="D55" s="352"/>
      <c r="E55" s="352"/>
      <c r="F55" s="352"/>
      <c r="G55" s="352"/>
    </row>
    <row r="56" spans="1:7" s="303" customFormat="1">
      <c r="A56" s="346"/>
      <c r="B56" s="346"/>
      <c r="E56" s="333"/>
    </row>
  </sheetData>
  <autoFilter ref="A4:G46"/>
  <mergeCells count="2">
    <mergeCell ref="A1:G1"/>
    <mergeCell ref="A2:G2"/>
  </mergeCells>
  <phoneticPr fontId="4" type="noConversion"/>
  <pageMargins left="0.7" right="0.7" top="0.75" bottom="0.75" header="0.3" footer="0.3"/>
  <pageSetup paperSize="9" scale="65" orientation="portrait" r:id="rId1"/>
</worksheet>
</file>

<file path=xl/worksheets/sheet42.xml><?xml version="1.0" encoding="utf-8"?>
<worksheet xmlns="http://schemas.openxmlformats.org/spreadsheetml/2006/main" xmlns:r="http://schemas.openxmlformats.org/officeDocument/2006/relationships">
  <dimension ref="A1:G73"/>
  <sheetViews>
    <sheetView workbookViewId="0">
      <selection activeCell="F5" sqref="F5"/>
    </sheetView>
  </sheetViews>
  <sheetFormatPr defaultRowHeight="15"/>
  <cols>
    <col min="2" max="2" width="19.140625" customWidth="1"/>
    <col min="3" max="3" width="11.7109375" customWidth="1"/>
    <col min="4" max="4" width="35.85546875" customWidth="1"/>
    <col min="5" max="5" width="10.140625" customWidth="1"/>
    <col min="6" max="6" width="13.28515625" customWidth="1"/>
    <col min="7" max="7" width="12.5703125" customWidth="1"/>
  </cols>
  <sheetData>
    <row r="1" spans="1:7" ht="15.75">
      <c r="A1" s="1352" t="s">
        <v>446</v>
      </c>
      <c r="B1" s="1352"/>
      <c r="C1" s="1352"/>
      <c r="D1" s="1352"/>
      <c r="E1" s="1352"/>
      <c r="F1" s="1352"/>
      <c r="G1" s="1352"/>
    </row>
    <row r="2" spans="1:7" ht="36" customHeight="1">
      <c r="A2" s="1352" t="s">
        <v>1617</v>
      </c>
      <c r="B2" s="1352"/>
      <c r="C2" s="1352"/>
      <c r="D2" s="1352"/>
      <c r="E2" s="1352"/>
      <c r="F2" s="1352"/>
      <c r="G2" s="1352"/>
    </row>
    <row r="3" spans="1:7" ht="15.75">
      <c r="A3" s="254"/>
      <c r="B3" s="255"/>
      <c r="C3" s="254"/>
      <c r="D3" s="256"/>
      <c r="E3" s="751"/>
      <c r="F3" s="256"/>
      <c r="G3" s="256"/>
    </row>
    <row r="4" spans="1:7" ht="63">
      <c r="A4" s="257" t="s">
        <v>434</v>
      </c>
      <c r="B4" s="257" t="s">
        <v>338</v>
      </c>
      <c r="C4" s="257" t="s">
        <v>771</v>
      </c>
      <c r="D4" s="257" t="s">
        <v>333</v>
      </c>
      <c r="E4" s="93" t="s">
        <v>337</v>
      </c>
      <c r="F4" s="257" t="s">
        <v>1618</v>
      </c>
      <c r="G4" s="257" t="s">
        <v>82</v>
      </c>
    </row>
    <row r="5" spans="1:7" ht="336" customHeight="1">
      <c r="A5" s="258">
        <v>1</v>
      </c>
      <c r="B5" s="259" t="s">
        <v>767</v>
      </c>
      <c r="C5" s="260"/>
      <c r="D5" s="272" t="s">
        <v>119</v>
      </c>
      <c r="E5" s="4">
        <v>0.2</v>
      </c>
      <c r="F5" s="4"/>
      <c r="G5" s="17">
        <f>F5*E5</f>
        <v>0</v>
      </c>
    </row>
    <row r="6" spans="1:7" ht="106.5" customHeight="1">
      <c r="A6" s="258"/>
      <c r="B6" s="259"/>
      <c r="C6" s="260"/>
      <c r="D6" s="2" t="s">
        <v>1619</v>
      </c>
      <c r="E6" s="1">
        <v>0.4</v>
      </c>
      <c r="F6" s="4"/>
      <c r="G6" s="17">
        <f t="shared" ref="G6:G35" si="0">F6*E6</f>
        <v>0</v>
      </c>
    </row>
    <row r="7" spans="1:7" ht="74.25" customHeight="1">
      <c r="A7" s="258"/>
      <c r="B7" s="259"/>
      <c r="C7" s="260"/>
      <c r="D7" s="2" t="s">
        <v>781</v>
      </c>
      <c r="E7" s="1">
        <v>0.4</v>
      </c>
      <c r="F7" s="4"/>
      <c r="G7" s="17">
        <f t="shared" si="0"/>
        <v>0</v>
      </c>
    </row>
    <row r="8" spans="1:7" ht="15.75">
      <c r="A8" s="249"/>
      <c r="B8" s="44" t="s">
        <v>1982</v>
      </c>
      <c r="C8" s="752">
        <v>0.05</v>
      </c>
      <c r="D8" s="753"/>
      <c r="E8" s="176">
        <f>SUM(E5:E7)</f>
        <v>1</v>
      </c>
      <c r="F8" s="176" t="s">
        <v>46</v>
      </c>
      <c r="G8" s="34">
        <f>SUM(G5:G7)*C8</f>
        <v>0</v>
      </c>
    </row>
    <row r="9" spans="1:7" ht="43.5" customHeight="1">
      <c r="A9" s="258">
        <v>2</v>
      </c>
      <c r="B9" s="259" t="s">
        <v>768</v>
      </c>
      <c r="C9" s="260"/>
      <c r="D9" s="619" t="s">
        <v>1620</v>
      </c>
      <c r="E9" s="754">
        <v>0.4</v>
      </c>
      <c r="F9" s="4"/>
      <c r="G9" s="17">
        <f t="shared" si="0"/>
        <v>0</v>
      </c>
    </row>
    <row r="10" spans="1:7" ht="72.75" customHeight="1">
      <c r="A10" s="258"/>
      <c r="B10" s="259"/>
      <c r="C10" s="260"/>
      <c r="D10" s="619" t="s">
        <v>783</v>
      </c>
      <c r="E10" s="754">
        <v>0.35</v>
      </c>
      <c r="F10" s="4"/>
      <c r="G10" s="17">
        <f t="shared" si="0"/>
        <v>0</v>
      </c>
    </row>
    <row r="11" spans="1:7" ht="69.75" customHeight="1">
      <c r="A11" s="258"/>
      <c r="B11" s="259"/>
      <c r="C11" s="260"/>
      <c r="D11" s="619" t="s">
        <v>728</v>
      </c>
      <c r="E11" s="754">
        <v>0.25</v>
      </c>
      <c r="F11" s="4"/>
      <c r="G11" s="17">
        <f t="shared" si="0"/>
        <v>0</v>
      </c>
    </row>
    <row r="12" spans="1:7" ht="15.75">
      <c r="A12" s="249"/>
      <c r="B12" s="44" t="s">
        <v>1982</v>
      </c>
      <c r="C12" s="755">
        <v>0.05</v>
      </c>
      <c r="D12" s="756"/>
      <c r="E12" s="757">
        <f>SUM(E9:E11)</f>
        <v>1</v>
      </c>
      <c r="F12" s="757" t="s">
        <v>47</v>
      </c>
      <c r="G12" s="34">
        <f>SUM(G9:G11)*C12</f>
        <v>0</v>
      </c>
    </row>
    <row r="13" spans="1:7" ht="63">
      <c r="A13" s="258">
        <v>3</v>
      </c>
      <c r="B13" s="259" t="s">
        <v>1621</v>
      </c>
      <c r="C13" s="260"/>
      <c r="D13" s="2" t="s">
        <v>1622</v>
      </c>
      <c r="E13" s="1">
        <v>1</v>
      </c>
      <c r="F13" s="4"/>
      <c r="G13" s="17">
        <f t="shared" si="0"/>
        <v>0</v>
      </c>
    </row>
    <row r="14" spans="1:7" ht="15.75">
      <c r="A14" s="249"/>
      <c r="B14" s="44" t="s">
        <v>1982</v>
      </c>
      <c r="C14" s="752">
        <v>0.1</v>
      </c>
      <c r="D14" s="753"/>
      <c r="E14" s="176">
        <f>SUM(E13:E13)</f>
        <v>1</v>
      </c>
      <c r="F14" s="34" t="s">
        <v>48</v>
      </c>
      <c r="G14" s="34">
        <f>SUM(G13:G13)*C14</f>
        <v>0</v>
      </c>
    </row>
    <row r="15" spans="1:7" ht="126">
      <c r="A15" s="258">
        <v>4</v>
      </c>
      <c r="B15" s="259" t="s">
        <v>1623</v>
      </c>
      <c r="C15" s="260"/>
      <c r="D15" s="619" t="s">
        <v>1624</v>
      </c>
      <c r="E15" s="754">
        <v>0.35</v>
      </c>
      <c r="F15" s="4"/>
      <c r="G15" s="17">
        <f t="shared" si="0"/>
        <v>0</v>
      </c>
    </row>
    <row r="16" spans="1:7" ht="63">
      <c r="A16" s="258"/>
      <c r="B16" s="259"/>
      <c r="C16" s="260"/>
      <c r="D16" s="619" t="s">
        <v>789</v>
      </c>
      <c r="E16" s="754">
        <v>0.3</v>
      </c>
      <c r="F16" s="4"/>
      <c r="G16" s="17">
        <f t="shared" si="0"/>
        <v>0</v>
      </c>
    </row>
    <row r="17" spans="1:7" ht="47.25">
      <c r="A17" s="258"/>
      <c r="B17" s="259"/>
      <c r="C17" s="260"/>
      <c r="D17" s="619" t="s">
        <v>1625</v>
      </c>
      <c r="E17" s="754">
        <v>0.35</v>
      </c>
      <c r="F17" s="4"/>
      <c r="G17" s="17">
        <f t="shared" si="0"/>
        <v>0</v>
      </c>
    </row>
    <row r="18" spans="1:7" ht="15.75">
      <c r="A18" s="249"/>
      <c r="B18" s="44" t="s">
        <v>1982</v>
      </c>
      <c r="C18" s="758">
        <v>0.2</v>
      </c>
      <c r="D18" s="759"/>
      <c r="E18" s="760">
        <f>SUM(E15:E17)</f>
        <v>0.99999999999999989</v>
      </c>
      <c r="F18" s="176" t="s">
        <v>49</v>
      </c>
      <c r="G18" s="34">
        <f>SUM(G15:G17)*C18</f>
        <v>0</v>
      </c>
    </row>
    <row r="19" spans="1:7" ht="157.5">
      <c r="A19" s="258">
        <v>5</v>
      </c>
      <c r="B19" s="259" t="s">
        <v>1626</v>
      </c>
      <c r="C19" s="260"/>
      <c r="D19" s="619" t="s">
        <v>91</v>
      </c>
      <c r="E19" s="754">
        <v>0.35</v>
      </c>
      <c r="F19" s="4"/>
      <c r="G19" s="17">
        <f t="shared" si="0"/>
        <v>0</v>
      </c>
    </row>
    <row r="20" spans="1:7" ht="45.75" customHeight="1">
      <c r="A20" s="258"/>
      <c r="B20" s="259"/>
      <c r="C20" s="260"/>
      <c r="D20" s="619" t="s">
        <v>1627</v>
      </c>
      <c r="E20" s="754">
        <v>0.35</v>
      </c>
      <c r="F20" s="4"/>
      <c r="G20" s="17">
        <f t="shared" si="0"/>
        <v>0</v>
      </c>
    </row>
    <row r="21" spans="1:7" ht="38.25" customHeight="1">
      <c r="A21" s="258"/>
      <c r="B21" s="259"/>
      <c r="C21" s="260"/>
      <c r="D21" s="619" t="s">
        <v>93</v>
      </c>
      <c r="E21" s="754">
        <v>0.3</v>
      </c>
      <c r="F21" s="4"/>
      <c r="G21" s="17">
        <f t="shared" si="0"/>
        <v>0</v>
      </c>
    </row>
    <row r="22" spans="1:7" ht="15.75">
      <c r="A22" s="249"/>
      <c r="B22" s="44" t="s">
        <v>1982</v>
      </c>
      <c r="C22" s="755">
        <v>0.15</v>
      </c>
      <c r="D22" s="756"/>
      <c r="E22" s="757">
        <f>SUM(E19:E21)</f>
        <v>1</v>
      </c>
      <c r="F22" s="757" t="s">
        <v>50</v>
      </c>
      <c r="G22" s="34">
        <f>SUM(G19:G21)*C22</f>
        <v>0</v>
      </c>
    </row>
    <row r="23" spans="1:7" ht="71.25" customHeight="1">
      <c r="A23" s="258">
        <v>6</v>
      </c>
      <c r="B23" s="259" t="s">
        <v>112</v>
      </c>
      <c r="C23" s="260"/>
      <c r="D23" s="2" t="s">
        <v>1628</v>
      </c>
      <c r="E23" s="1">
        <v>0.2</v>
      </c>
      <c r="F23" s="4"/>
      <c r="G23" s="17">
        <f t="shared" si="0"/>
        <v>0</v>
      </c>
    </row>
    <row r="24" spans="1:7" ht="36" customHeight="1">
      <c r="A24" s="258"/>
      <c r="B24" s="259"/>
      <c r="C24" s="260"/>
      <c r="D24" s="2" t="s">
        <v>1629</v>
      </c>
      <c r="E24" s="1">
        <v>0.4</v>
      </c>
      <c r="F24" s="4"/>
      <c r="G24" s="17">
        <f t="shared" si="0"/>
        <v>0</v>
      </c>
    </row>
    <row r="25" spans="1:7" ht="54.75" customHeight="1">
      <c r="A25" s="258"/>
      <c r="B25" s="259"/>
      <c r="C25" s="260"/>
      <c r="D25" s="2" t="s">
        <v>1630</v>
      </c>
      <c r="E25" s="1">
        <v>0.4</v>
      </c>
      <c r="F25" s="4"/>
      <c r="G25" s="17">
        <f t="shared" si="0"/>
        <v>0</v>
      </c>
    </row>
    <row r="26" spans="1:7" ht="15.75">
      <c r="A26" s="249"/>
      <c r="B26" s="44" t="s">
        <v>1982</v>
      </c>
      <c r="C26" s="249">
        <v>0.15</v>
      </c>
      <c r="D26" s="753"/>
      <c r="E26" s="176">
        <f>SUM(E23:E25)</f>
        <v>1</v>
      </c>
      <c r="F26" s="34" t="s">
        <v>51</v>
      </c>
      <c r="G26" s="34">
        <f>SUM(G23:G25)*C26</f>
        <v>0</v>
      </c>
    </row>
    <row r="27" spans="1:7" ht="78.75">
      <c r="A27" s="258">
        <v>7</v>
      </c>
      <c r="B27" s="259" t="s">
        <v>1631</v>
      </c>
      <c r="C27" s="761"/>
      <c r="D27" s="619" t="s">
        <v>97</v>
      </c>
      <c r="E27" s="754">
        <v>0.3</v>
      </c>
      <c r="F27" s="4"/>
      <c r="G27" s="17">
        <f t="shared" si="0"/>
        <v>0</v>
      </c>
    </row>
    <row r="28" spans="1:7" ht="47.25" customHeight="1">
      <c r="A28" s="258"/>
      <c r="B28" s="259"/>
      <c r="C28" s="761"/>
      <c r="D28" s="619" t="s">
        <v>98</v>
      </c>
      <c r="E28" s="754">
        <v>0.3</v>
      </c>
      <c r="F28" s="4"/>
      <c r="G28" s="17">
        <f t="shared" si="0"/>
        <v>0</v>
      </c>
    </row>
    <row r="29" spans="1:7" ht="51.75" customHeight="1">
      <c r="A29" s="258"/>
      <c r="B29" s="259"/>
      <c r="C29" s="761"/>
      <c r="D29" s="619" t="s">
        <v>99</v>
      </c>
      <c r="E29" s="754">
        <v>0.4</v>
      </c>
      <c r="F29" s="4"/>
      <c r="G29" s="17">
        <f t="shared" si="0"/>
        <v>0</v>
      </c>
    </row>
    <row r="30" spans="1:7" ht="15.75">
      <c r="A30" s="249"/>
      <c r="B30" s="44" t="s">
        <v>1982</v>
      </c>
      <c r="C30" s="752">
        <v>0.1</v>
      </c>
      <c r="D30" s="759"/>
      <c r="E30" s="760">
        <f>SUM(E27:E29)</f>
        <v>1</v>
      </c>
      <c r="F30" s="34" t="s">
        <v>52</v>
      </c>
      <c r="G30" s="34">
        <f>SUM(G27:G29)*C30</f>
        <v>0</v>
      </c>
    </row>
    <row r="31" spans="1:7" ht="141.75">
      <c r="A31" s="258">
        <v>8</v>
      </c>
      <c r="B31" s="259" t="s">
        <v>1632</v>
      </c>
      <c r="C31" s="260"/>
      <c r="D31" s="2" t="s">
        <v>1633</v>
      </c>
      <c r="E31" s="694">
        <v>0.5</v>
      </c>
      <c r="F31" s="4"/>
      <c r="G31" s="17">
        <f t="shared" si="0"/>
        <v>0</v>
      </c>
    </row>
    <row r="32" spans="1:7" ht="47.25">
      <c r="A32" s="258"/>
      <c r="B32" s="259"/>
      <c r="C32" s="260"/>
      <c r="D32" s="2" t="s">
        <v>1634</v>
      </c>
      <c r="E32" s="694">
        <v>0.5</v>
      </c>
      <c r="F32" s="4"/>
      <c r="G32" s="17">
        <f t="shared" si="0"/>
        <v>0</v>
      </c>
    </row>
    <row r="33" spans="1:7" ht="15.75">
      <c r="A33" s="249"/>
      <c r="B33" s="44" t="s">
        <v>1982</v>
      </c>
      <c r="C33" s="758">
        <v>0.1</v>
      </c>
      <c r="D33" s="759"/>
      <c r="E33" s="760">
        <f>SUM(E31:E32)</f>
        <v>1</v>
      </c>
      <c r="F33" s="34" t="s">
        <v>53</v>
      </c>
      <c r="G33" s="34">
        <f>SUM(G31:G32)*C33</f>
        <v>0</v>
      </c>
    </row>
    <row r="34" spans="1:7" ht="78.75">
      <c r="A34" s="258">
        <v>9</v>
      </c>
      <c r="B34" s="762" t="s">
        <v>1635</v>
      </c>
      <c r="C34" s="260"/>
      <c r="D34" s="619" t="s">
        <v>1636</v>
      </c>
      <c r="E34" s="694">
        <v>0.5</v>
      </c>
      <c r="F34" s="4"/>
      <c r="G34" s="17">
        <f t="shared" si="0"/>
        <v>0</v>
      </c>
    </row>
    <row r="35" spans="1:7" ht="31.5">
      <c r="A35" s="258"/>
      <c r="B35" s="259"/>
      <c r="C35" s="260"/>
      <c r="D35" s="619" t="s">
        <v>1637</v>
      </c>
      <c r="E35" s="694">
        <v>0.5</v>
      </c>
      <c r="F35" s="4"/>
      <c r="G35" s="17">
        <f t="shared" si="0"/>
        <v>0</v>
      </c>
    </row>
    <row r="36" spans="1:7" ht="15.75">
      <c r="A36" s="249"/>
      <c r="B36" s="44" t="s">
        <v>1982</v>
      </c>
      <c r="C36" s="755">
        <v>0.1</v>
      </c>
      <c r="D36" s="756"/>
      <c r="E36" s="757">
        <f>SUM(E34:E35)</f>
        <v>1</v>
      </c>
      <c r="F36" s="34" t="s">
        <v>54</v>
      </c>
      <c r="G36" s="34">
        <f>SUM(G34:G35)*C36</f>
        <v>0</v>
      </c>
    </row>
    <row r="37" spans="1:7" ht="15.75">
      <c r="A37" s="262"/>
      <c r="B37" s="263" t="s">
        <v>443</v>
      </c>
      <c r="C37" s="262">
        <f>SUM(C8+C12+C14+C18+C22+C26+C30+C33+C36)</f>
        <v>1</v>
      </c>
      <c r="D37" s="264"/>
      <c r="E37" s="265">
        <v>9</v>
      </c>
      <c r="F37" s="763"/>
      <c r="G37" s="764">
        <f>SUM(G8+G12+G14+G18+G22+G26+G30+G33+G36)</f>
        <v>0</v>
      </c>
    </row>
    <row r="38" spans="1:7" ht="15.75">
      <c r="A38" s="258"/>
      <c r="B38" s="24" t="s">
        <v>444</v>
      </c>
      <c r="C38" s="95"/>
      <c r="D38" s="13"/>
      <c r="E38" s="17"/>
      <c r="F38" s="4"/>
      <c r="G38" s="258" t="str">
        <f>IF(G37&lt;=0.5,"низький",IF(G37&lt;=0.75,"середній",(IF(G37&lt;=0.95,"достатній",(IF(G37&lt;=1,"високий"))))))</f>
        <v>низький</v>
      </c>
    </row>
    <row r="39" spans="1:7" s="302" customFormat="1" ht="15.75">
      <c r="A39" s="288" t="s">
        <v>182</v>
      </c>
      <c r="B39" s="289"/>
      <c r="C39" s="342"/>
      <c r="E39" s="343"/>
      <c r="F39" s="344"/>
      <c r="G39" s="112"/>
    </row>
    <row r="40" spans="1:7" s="302" customFormat="1" ht="17.25">
      <c r="A40" s="345" t="s">
        <v>589</v>
      </c>
      <c r="B40" s="346"/>
      <c r="C40" s="347"/>
      <c r="D40" s="303"/>
      <c r="E40" s="348"/>
      <c r="F40" s="349"/>
      <c r="G40" s="112"/>
    </row>
    <row r="41" spans="1:7" s="302" customFormat="1" ht="17.25">
      <c r="A41" s="345" t="s">
        <v>590</v>
      </c>
      <c r="B41" s="346"/>
      <c r="C41" s="347"/>
      <c r="D41" s="303"/>
      <c r="E41" s="348"/>
      <c r="F41" s="349"/>
      <c r="G41" s="112"/>
    </row>
    <row r="42" spans="1:7" s="302" customFormat="1" ht="17.25">
      <c r="A42" s="345" t="s">
        <v>591</v>
      </c>
      <c r="B42" s="346"/>
      <c r="C42" s="347"/>
      <c r="D42" s="303"/>
      <c r="E42" s="348"/>
      <c r="F42" s="349"/>
      <c r="G42" s="112"/>
    </row>
    <row r="43" spans="1:7" s="302" customFormat="1" ht="17.25">
      <c r="A43" s="345" t="s">
        <v>592</v>
      </c>
      <c r="B43" s="346"/>
      <c r="C43" s="347"/>
      <c r="D43" s="303"/>
      <c r="E43" s="348"/>
      <c r="F43" s="349"/>
      <c r="G43" s="112"/>
    </row>
    <row r="44" spans="1:7" s="302" customFormat="1" ht="17.25">
      <c r="A44" s="345" t="s">
        <v>593</v>
      </c>
      <c r="B44" s="346"/>
      <c r="C44" s="347"/>
      <c r="D44" s="303"/>
      <c r="E44" s="348"/>
      <c r="F44" s="349"/>
      <c r="G44" s="112"/>
    </row>
    <row r="45" spans="1:7" s="302" customFormat="1" ht="17.25">
      <c r="A45" s="345" t="s">
        <v>594</v>
      </c>
      <c r="B45" s="346"/>
      <c r="C45" s="347"/>
      <c r="D45" s="303"/>
      <c r="E45" s="348"/>
      <c r="F45" s="349"/>
      <c r="G45" s="112"/>
    </row>
    <row r="46" spans="1:7" s="302" customFormat="1" ht="17.25">
      <c r="A46" s="345" t="s">
        <v>595</v>
      </c>
      <c r="B46" s="346"/>
      <c r="C46" s="347"/>
      <c r="D46" s="303"/>
      <c r="E46" s="348"/>
      <c r="F46" s="349"/>
      <c r="G46" s="112"/>
    </row>
    <row r="47" spans="1:7" s="302" customFormat="1" ht="15.75">
      <c r="A47" s="350" t="s">
        <v>596</v>
      </c>
      <c r="B47" s="346"/>
      <c r="C47" s="347"/>
      <c r="D47" s="303"/>
      <c r="E47" s="348"/>
      <c r="F47" s="349"/>
      <c r="G47" s="112"/>
    </row>
    <row r="48" spans="1:7" s="302" customFormat="1" ht="15.75">
      <c r="A48" s="345" t="s">
        <v>597</v>
      </c>
      <c r="B48" s="346"/>
      <c r="C48" s="347"/>
      <c r="D48" s="303"/>
      <c r="E48" s="348"/>
      <c r="F48" s="349"/>
      <c r="G48" s="112"/>
    </row>
    <row r="49" spans="1:7" s="302" customFormat="1" ht="15.75">
      <c r="A49" s="288" t="s">
        <v>792</v>
      </c>
      <c r="B49" s="346"/>
      <c r="C49" s="347"/>
      <c r="D49" s="303"/>
      <c r="E49" s="348"/>
      <c r="F49" s="349"/>
      <c r="G49" s="112"/>
    </row>
    <row r="50" spans="1:7" s="302" customFormat="1" ht="15.75">
      <c r="A50" s="288" t="s">
        <v>793</v>
      </c>
      <c r="B50" s="346"/>
      <c r="C50" s="347"/>
      <c r="D50" s="303"/>
      <c r="E50" s="348"/>
      <c r="F50" s="349"/>
      <c r="G50" s="112"/>
    </row>
    <row r="51" spans="1:7" s="302" customFormat="1" ht="15.75">
      <c r="A51" s="288" t="s">
        <v>794</v>
      </c>
      <c r="B51" s="346"/>
      <c r="C51" s="347"/>
      <c r="D51" s="303"/>
      <c r="E51" s="348"/>
      <c r="F51" s="349"/>
      <c r="G51" s="112"/>
    </row>
    <row r="52" spans="1:7" s="302" customFormat="1" ht="15.75">
      <c r="A52" s="342"/>
      <c r="B52" s="342" t="s">
        <v>20</v>
      </c>
      <c r="C52" s="342"/>
      <c r="D52" s="342"/>
      <c r="E52" s="342"/>
      <c r="F52" s="342"/>
      <c r="G52" s="342"/>
    </row>
    <row r="53" spans="1:7" s="302" customFormat="1" ht="15.75">
      <c r="A53" s="351"/>
      <c r="B53" s="351"/>
      <c r="C53" s="351"/>
      <c r="D53" s="351"/>
      <c r="E53" s="351"/>
      <c r="F53" s="351"/>
      <c r="G53" s="351"/>
    </row>
    <row r="54" spans="1:7" s="302" customFormat="1" ht="15.75">
      <c r="A54" s="351"/>
      <c r="B54" s="351"/>
      <c r="C54" s="351"/>
      <c r="D54" s="351"/>
      <c r="E54" s="351"/>
      <c r="F54" s="351"/>
      <c r="G54" s="351"/>
    </row>
    <row r="55" spans="1:7" s="302" customFormat="1" ht="15.75">
      <c r="A55" s="351"/>
      <c r="B55" s="351"/>
      <c r="C55" s="351"/>
      <c r="D55" s="351"/>
      <c r="E55" s="351"/>
      <c r="F55" s="351"/>
      <c r="G55" s="351"/>
    </row>
    <row r="56" spans="1:7" s="302" customFormat="1" ht="15.75">
      <c r="A56" s="351"/>
      <c r="B56" s="351"/>
      <c r="C56" s="351"/>
      <c r="D56" s="351"/>
      <c r="E56" s="351"/>
      <c r="F56" s="351"/>
      <c r="G56" s="351"/>
    </row>
    <row r="57" spans="1:7" s="302" customFormat="1" ht="15.75">
      <c r="A57" s="351"/>
      <c r="B57" s="351"/>
      <c r="C57" s="351"/>
      <c r="D57" s="351"/>
      <c r="E57" s="351"/>
      <c r="F57" s="351"/>
      <c r="G57" s="351"/>
    </row>
    <row r="58" spans="1:7" s="302" customFormat="1" ht="15.75">
      <c r="A58" s="351"/>
      <c r="B58" s="351"/>
      <c r="C58" s="351"/>
      <c r="D58" s="351"/>
      <c r="E58" s="351"/>
      <c r="F58" s="351"/>
      <c r="G58" s="351"/>
    </row>
    <row r="59" spans="1:7" s="302" customFormat="1" ht="15.75">
      <c r="A59" s="351"/>
      <c r="B59" s="351"/>
      <c r="C59" s="351"/>
      <c r="D59" s="351"/>
      <c r="E59" s="351"/>
      <c r="F59" s="351"/>
      <c r="G59" s="351"/>
    </row>
    <row r="60" spans="1:7" s="302" customFormat="1" ht="15.75">
      <c r="A60" s="351"/>
      <c r="B60" s="351"/>
      <c r="C60" s="351"/>
      <c r="D60" s="351"/>
      <c r="E60" s="351"/>
      <c r="F60" s="351"/>
      <c r="G60" s="351"/>
    </row>
    <row r="61" spans="1:7" s="302" customFormat="1" ht="15.75">
      <c r="A61" s="351"/>
      <c r="B61" s="351"/>
      <c r="C61" s="351"/>
      <c r="D61" s="351"/>
      <c r="E61" s="351"/>
      <c r="F61" s="351"/>
      <c r="G61" s="351"/>
    </row>
    <row r="62" spans="1:7" s="302" customFormat="1" ht="15.75">
      <c r="A62" s="351"/>
      <c r="B62" s="351"/>
      <c r="C62" s="351"/>
      <c r="D62" s="351"/>
      <c r="E62" s="351"/>
      <c r="F62" s="351"/>
      <c r="G62" s="351"/>
    </row>
    <row r="63" spans="1:7" s="302" customFormat="1" ht="15.75">
      <c r="A63" s="351"/>
      <c r="B63" s="351"/>
      <c r="C63" s="351"/>
      <c r="D63" s="351"/>
      <c r="E63" s="351"/>
      <c r="F63" s="351"/>
      <c r="G63" s="351"/>
    </row>
    <row r="64" spans="1:7" s="302" customFormat="1" ht="15.75">
      <c r="A64" s="351"/>
      <c r="B64" s="351"/>
      <c r="C64" s="351"/>
      <c r="D64" s="351"/>
      <c r="E64" s="351"/>
      <c r="F64" s="351"/>
      <c r="G64" s="351"/>
    </row>
    <row r="65" spans="1:7" s="302" customFormat="1" ht="15.75">
      <c r="A65" s="351"/>
      <c r="B65" s="351"/>
      <c r="C65" s="351"/>
      <c r="D65" s="351"/>
      <c r="E65" s="351"/>
      <c r="F65" s="351"/>
      <c r="G65" s="351"/>
    </row>
    <row r="66" spans="1:7" s="302" customFormat="1" ht="15.75">
      <c r="A66" s="351"/>
      <c r="B66" s="351"/>
      <c r="C66" s="351"/>
      <c r="D66" s="351"/>
      <c r="E66" s="351"/>
      <c r="F66" s="351"/>
      <c r="G66" s="351"/>
    </row>
    <row r="67" spans="1:7" s="302" customFormat="1" ht="15.75">
      <c r="A67" s="342"/>
      <c r="B67" s="352" t="s">
        <v>2418</v>
      </c>
      <c r="C67" s="352"/>
      <c r="D67" s="352"/>
      <c r="E67" s="352"/>
      <c r="F67" s="352"/>
      <c r="G67" s="352"/>
    </row>
    <row r="68" spans="1:7" s="302" customFormat="1" ht="15.75">
      <c r="A68" s="342"/>
      <c r="B68" s="353"/>
      <c r="C68" s="353"/>
      <c r="D68" s="353"/>
      <c r="E68" s="353"/>
      <c r="F68" s="353"/>
      <c r="G68" s="353"/>
    </row>
    <row r="69" spans="1:7" s="302" customFormat="1" ht="15.75">
      <c r="A69" s="342"/>
      <c r="B69" s="352" t="s">
        <v>22</v>
      </c>
      <c r="C69" s="352"/>
      <c r="D69" s="352"/>
      <c r="E69" s="352"/>
      <c r="F69" s="352"/>
      <c r="G69" s="352"/>
    </row>
    <row r="70" spans="1:7" s="302" customFormat="1" ht="15.75">
      <c r="A70" s="342"/>
      <c r="B70" s="353"/>
      <c r="C70" s="353"/>
      <c r="D70" s="353"/>
      <c r="E70" s="353"/>
      <c r="F70" s="353"/>
      <c r="G70" s="353"/>
    </row>
    <row r="71" spans="1:7" s="302" customFormat="1" ht="15.75">
      <c r="A71" s="342"/>
      <c r="B71" s="352" t="s">
        <v>23</v>
      </c>
      <c r="C71" s="352"/>
      <c r="D71" s="352"/>
      <c r="E71" s="352"/>
      <c r="F71" s="352"/>
      <c r="G71" s="352"/>
    </row>
    <row r="72" spans="1:7" s="302" customFormat="1" ht="15.75">
      <c r="A72" s="342"/>
      <c r="B72" s="352" t="s">
        <v>24</v>
      </c>
      <c r="C72" s="352"/>
      <c r="D72" s="352"/>
      <c r="E72" s="352"/>
      <c r="F72" s="352"/>
      <c r="G72" s="352"/>
    </row>
    <row r="73" spans="1:7" s="303" customFormat="1" ht="15.75">
      <c r="A73" s="346"/>
      <c r="B73" s="346"/>
      <c r="E73" s="333"/>
    </row>
  </sheetData>
  <mergeCells count="2">
    <mergeCell ref="A1:G1"/>
    <mergeCell ref="A2:G2"/>
  </mergeCells>
  <phoneticPr fontId="4" type="noConversion"/>
  <pageMargins left="0.7" right="0.7" top="0.75" bottom="0.75" header="0.3" footer="0.3"/>
  <pageSetup paperSize="9" scale="75" orientation="portrait" r:id="rId1"/>
</worksheet>
</file>

<file path=xl/worksheets/sheet43.xml><?xml version="1.0" encoding="utf-8"?>
<worksheet xmlns="http://schemas.openxmlformats.org/spreadsheetml/2006/main" xmlns:r="http://schemas.openxmlformats.org/officeDocument/2006/relationships">
  <dimension ref="A1:G91"/>
  <sheetViews>
    <sheetView zoomScale="80" zoomScaleNormal="80" workbookViewId="0">
      <selection activeCell="F5" sqref="F5"/>
    </sheetView>
  </sheetViews>
  <sheetFormatPr defaultRowHeight="15.75"/>
  <cols>
    <col min="1" max="1" width="7" style="254" bestFit="1" customWidth="1"/>
    <col min="2" max="2" width="20.85546875" style="255" customWidth="1"/>
    <col min="3" max="3" width="13.28515625" style="254" customWidth="1"/>
    <col min="4" max="4" width="40.42578125" style="256" customWidth="1"/>
    <col min="5" max="5" width="16.42578125" style="269" customWidth="1"/>
    <col min="6" max="6" width="17.7109375" style="253" customWidth="1"/>
    <col min="7" max="7" width="13.5703125" style="253" bestFit="1" customWidth="1"/>
    <col min="8" max="16384" width="9.140625" style="253"/>
  </cols>
  <sheetData>
    <row r="1" spans="1:7">
      <c r="A1" s="1351" t="s">
        <v>446</v>
      </c>
      <c r="B1" s="1351"/>
      <c r="C1" s="1351"/>
      <c r="D1" s="1351"/>
      <c r="E1" s="1351"/>
      <c r="F1" s="1351"/>
      <c r="G1" s="1351"/>
    </row>
    <row r="2" spans="1:7" ht="36" customHeight="1">
      <c r="A2" s="1351" t="s">
        <v>1609</v>
      </c>
      <c r="B2" s="1351"/>
      <c r="C2" s="1351"/>
      <c r="D2" s="1351"/>
      <c r="E2" s="1351"/>
      <c r="F2" s="1351"/>
      <c r="G2" s="1351"/>
    </row>
    <row r="4" spans="1:7" ht="63">
      <c r="A4" s="257" t="s">
        <v>434</v>
      </c>
      <c r="B4" s="257" t="s">
        <v>338</v>
      </c>
      <c r="C4" s="257" t="s">
        <v>771</v>
      </c>
      <c r="D4" s="257" t="s">
        <v>333</v>
      </c>
      <c r="E4" s="93" t="s">
        <v>337</v>
      </c>
      <c r="F4" s="257" t="s">
        <v>770</v>
      </c>
      <c r="G4" s="257" t="s">
        <v>82</v>
      </c>
    </row>
    <row r="5" spans="1:7" ht="288">
      <c r="A5" s="258">
        <v>1</v>
      </c>
      <c r="B5" s="259" t="s">
        <v>767</v>
      </c>
      <c r="C5" s="260"/>
      <c r="D5" s="272" t="s">
        <v>119</v>
      </c>
      <c r="E5" s="4">
        <v>0.2</v>
      </c>
      <c r="F5" s="4"/>
      <c r="G5" s="17">
        <f>F5*E5</f>
        <v>0</v>
      </c>
    </row>
    <row r="6" spans="1:7" ht="78.75">
      <c r="A6" s="258"/>
      <c r="B6" s="259"/>
      <c r="C6" s="260"/>
      <c r="D6" s="91" t="s">
        <v>780</v>
      </c>
      <c r="E6" s="102">
        <v>0.4</v>
      </c>
      <c r="F6" s="4"/>
      <c r="G6" s="17">
        <f t="shared" ref="G6:G50" si="0">F6*E6</f>
        <v>0</v>
      </c>
    </row>
    <row r="7" spans="1:7" ht="63">
      <c r="A7" s="258"/>
      <c r="B7" s="259"/>
      <c r="C7" s="260"/>
      <c r="D7" s="91" t="s">
        <v>781</v>
      </c>
      <c r="E7" s="102">
        <v>0.4</v>
      </c>
      <c r="F7" s="4"/>
      <c r="G7" s="17">
        <f t="shared" si="0"/>
        <v>0</v>
      </c>
    </row>
    <row r="8" spans="1:7">
      <c r="A8" s="249"/>
      <c r="B8" s="44" t="s">
        <v>848</v>
      </c>
      <c r="C8" s="249">
        <v>0.05</v>
      </c>
      <c r="D8" s="33"/>
      <c r="E8" s="34">
        <f>SUM(E5:E7)</f>
        <v>1</v>
      </c>
      <c r="F8" s="34" t="s">
        <v>46</v>
      </c>
      <c r="G8" s="34">
        <f>SUM(G5:G7)*C8</f>
        <v>0</v>
      </c>
    </row>
    <row r="9" spans="1:7" ht="31.5">
      <c r="A9" s="258">
        <v>2</v>
      </c>
      <c r="B9" s="259" t="s">
        <v>768</v>
      </c>
      <c r="C9" s="260"/>
      <c r="D9" s="91" t="s">
        <v>782</v>
      </c>
      <c r="E9" s="100">
        <v>0.4</v>
      </c>
      <c r="F9" s="4"/>
      <c r="G9" s="17">
        <f t="shared" si="0"/>
        <v>0</v>
      </c>
    </row>
    <row r="10" spans="1:7" ht="63">
      <c r="A10" s="258"/>
      <c r="B10" s="259"/>
      <c r="C10" s="260"/>
      <c r="D10" s="91" t="s">
        <v>783</v>
      </c>
      <c r="E10" s="102">
        <v>0.35</v>
      </c>
      <c r="F10" s="4"/>
      <c r="G10" s="17">
        <f t="shared" si="0"/>
        <v>0</v>
      </c>
    </row>
    <row r="11" spans="1:7" ht="47.25">
      <c r="A11" s="258"/>
      <c r="B11" s="259"/>
      <c r="C11" s="260"/>
      <c r="D11" s="91" t="s">
        <v>728</v>
      </c>
      <c r="E11" s="102">
        <v>0.25</v>
      </c>
      <c r="F11" s="4"/>
      <c r="G11" s="17">
        <f t="shared" si="0"/>
        <v>0</v>
      </c>
    </row>
    <row r="12" spans="1:7">
      <c r="A12" s="249"/>
      <c r="B12" s="44" t="s">
        <v>848</v>
      </c>
      <c r="C12" s="249">
        <v>0.05</v>
      </c>
      <c r="D12" s="33"/>
      <c r="E12" s="34">
        <f>SUM(E9:E11)</f>
        <v>1</v>
      </c>
      <c r="F12" s="34" t="s">
        <v>47</v>
      </c>
      <c r="G12" s="34">
        <f>SUM(G9:G11)*C12</f>
        <v>0</v>
      </c>
    </row>
    <row r="13" spans="1:7" ht="63">
      <c r="A13" s="258">
        <v>3</v>
      </c>
      <c r="B13" s="259" t="s">
        <v>567</v>
      </c>
      <c r="C13" s="260"/>
      <c r="D13" s="91" t="s">
        <v>784</v>
      </c>
      <c r="E13" s="100">
        <v>0.25</v>
      </c>
      <c r="F13" s="4"/>
      <c r="G13" s="17">
        <f t="shared" si="0"/>
        <v>0</v>
      </c>
    </row>
    <row r="14" spans="1:7" ht="110.25">
      <c r="A14" s="258"/>
      <c r="B14" s="259"/>
      <c r="C14" s="260"/>
      <c r="D14" s="91" t="s">
        <v>785</v>
      </c>
      <c r="E14" s="102">
        <v>0.25</v>
      </c>
      <c r="F14" s="4"/>
      <c r="G14" s="17">
        <f t="shared" si="0"/>
        <v>0</v>
      </c>
    </row>
    <row r="15" spans="1:7" ht="31.5">
      <c r="A15" s="258"/>
      <c r="B15" s="259"/>
      <c r="C15" s="260"/>
      <c r="D15" s="91" t="s">
        <v>786</v>
      </c>
      <c r="E15" s="102">
        <v>0.25</v>
      </c>
      <c r="F15" s="4"/>
      <c r="G15" s="17">
        <f t="shared" si="0"/>
        <v>0</v>
      </c>
    </row>
    <row r="16" spans="1:7" ht="63">
      <c r="A16" s="258"/>
      <c r="B16" s="259"/>
      <c r="C16" s="260"/>
      <c r="D16" s="91" t="s">
        <v>787</v>
      </c>
      <c r="E16" s="102">
        <v>0.25</v>
      </c>
      <c r="F16" s="4"/>
      <c r="G16" s="17">
        <f t="shared" si="0"/>
        <v>0</v>
      </c>
    </row>
    <row r="17" spans="1:7">
      <c r="A17" s="249"/>
      <c r="B17" s="44" t="s">
        <v>848</v>
      </c>
      <c r="C17" s="249">
        <v>0.1</v>
      </c>
      <c r="D17" s="33"/>
      <c r="E17" s="34">
        <f>SUM(E13:E16)</f>
        <v>1</v>
      </c>
      <c r="F17" s="34" t="s">
        <v>48</v>
      </c>
      <c r="G17" s="34">
        <f>SUM(G13:G16)*C17</f>
        <v>0</v>
      </c>
    </row>
    <row r="18" spans="1:7" ht="94.5">
      <c r="A18" s="258">
        <v>4</v>
      </c>
      <c r="B18" s="259" t="s">
        <v>110</v>
      </c>
      <c r="C18" s="260"/>
      <c r="D18" s="91" t="s">
        <v>788</v>
      </c>
      <c r="E18" s="100">
        <v>0.15</v>
      </c>
      <c r="F18" s="4"/>
      <c r="G18" s="17">
        <f t="shared" si="0"/>
        <v>0</v>
      </c>
    </row>
    <row r="19" spans="1:7" ht="47.25">
      <c r="A19" s="258"/>
      <c r="B19" s="259"/>
      <c r="C19" s="260"/>
      <c r="D19" s="91" t="s">
        <v>789</v>
      </c>
      <c r="E19" s="102">
        <v>0.25</v>
      </c>
      <c r="F19" s="4"/>
      <c r="G19" s="17">
        <f t="shared" si="0"/>
        <v>0</v>
      </c>
    </row>
    <row r="20" spans="1:7" ht="31.5">
      <c r="A20" s="258"/>
      <c r="B20" s="259"/>
      <c r="C20" s="260"/>
      <c r="D20" s="91" t="s">
        <v>790</v>
      </c>
      <c r="E20" s="102">
        <v>0.2</v>
      </c>
      <c r="F20" s="4"/>
      <c r="G20" s="17">
        <f t="shared" si="0"/>
        <v>0</v>
      </c>
    </row>
    <row r="21" spans="1:7">
      <c r="A21" s="258"/>
      <c r="B21" s="259"/>
      <c r="C21" s="260"/>
      <c r="D21" s="91" t="s">
        <v>89</v>
      </c>
      <c r="E21" s="102">
        <v>0.15</v>
      </c>
      <c r="F21" s="4"/>
      <c r="G21" s="17">
        <f t="shared" si="0"/>
        <v>0</v>
      </c>
    </row>
    <row r="22" spans="1:7" ht="63">
      <c r="A22" s="258"/>
      <c r="B22" s="259"/>
      <c r="C22" s="260"/>
      <c r="D22" s="91" t="s">
        <v>90</v>
      </c>
      <c r="E22" s="102">
        <v>0.25</v>
      </c>
      <c r="F22" s="4"/>
      <c r="G22" s="17">
        <f t="shared" si="0"/>
        <v>0</v>
      </c>
    </row>
    <row r="23" spans="1:7">
      <c r="A23" s="249"/>
      <c r="B23" s="44" t="s">
        <v>848</v>
      </c>
      <c r="C23" s="249">
        <v>0.15</v>
      </c>
      <c r="D23" s="33"/>
      <c r="E23" s="34">
        <f>SUM(E18:E22)</f>
        <v>1</v>
      </c>
      <c r="F23" s="34" t="s">
        <v>49</v>
      </c>
      <c r="G23" s="34">
        <f>SUM(G18:G22)*C23</f>
        <v>0</v>
      </c>
    </row>
    <row r="24" spans="1:7" ht="173.25">
      <c r="A24" s="258">
        <v>5</v>
      </c>
      <c r="B24" s="259" t="s">
        <v>111</v>
      </c>
      <c r="C24" s="260"/>
      <c r="D24" s="91" t="s">
        <v>91</v>
      </c>
      <c r="E24" s="100">
        <v>0.25</v>
      </c>
      <c r="F24" s="4"/>
      <c r="G24" s="17">
        <f t="shared" si="0"/>
        <v>0</v>
      </c>
    </row>
    <row r="25" spans="1:7" ht="31.5">
      <c r="A25" s="258"/>
      <c r="B25" s="259"/>
      <c r="C25" s="260"/>
      <c r="D25" s="91" t="s">
        <v>92</v>
      </c>
      <c r="E25" s="102">
        <v>0.2</v>
      </c>
      <c r="F25" s="4"/>
      <c r="G25" s="17">
        <f t="shared" si="0"/>
        <v>0</v>
      </c>
    </row>
    <row r="26" spans="1:7" ht="31.5">
      <c r="A26" s="258"/>
      <c r="B26" s="259"/>
      <c r="C26" s="260"/>
      <c r="D26" s="91" t="s">
        <v>790</v>
      </c>
      <c r="E26" s="102">
        <v>0.3</v>
      </c>
      <c r="F26" s="4"/>
      <c r="G26" s="17">
        <f t="shared" si="0"/>
        <v>0</v>
      </c>
    </row>
    <row r="27" spans="1:7" ht="31.5">
      <c r="A27" s="258"/>
      <c r="B27" s="259"/>
      <c r="C27" s="260"/>
      <c r="D27" s="91" t="s">
        <v>93</v>
      </c>
      <c r="E27" s="102">
        <v>0.25</v>
      </c>
      <c r="F27" s="4"/>
      <c r="G27" s="17">
        <f t="shared" si="0"/>
        <v>0</v>
      </c>
    </row>
    <row r="28" spans="1:7">
      <c r="A28" s="249"/>
      <c r="B28" s="44" t="s">
        <v>848</v>
      </c>
      <c r="C28" s="249">
        <v>0.15</v>
      </c>
      <c r="D28" s="33"/>
      <c r="E28" s="34">
        <f>SUM(E24:E27)</f>
        <v>1</v>
      </c>
      <c r="F28" s="34" t="s">
        <v>50</v>
      </c>
      <c r="G28" s="34">
        <f>SUM(G24:G27)*C28</f>
        <v>0</v>
      </c>
    </row>
    <row r="29" spans="1:7" ht="47.25">
      <c r="A29" s="258">
        <v>6</v>
      </c>
      <c r="B29" s="259" t="s">
        <v>112</v>
      </c>
      <c r="C29" s="260"/>
      <c r="D29" s="91" t="s">
        <v>94</v>
      </c>
      <c r="E29" s="100">
        <v>0.25</v>
      </c>
      <c r="F29" s="4"/>
      <c r="G29" s="17">
        <f t="shared" si="0"/>
        <v>0</v>
      </c>
    </row>
    <row r="30" spans="1:7" ht="63">
      <c r="A30" s="258"/>
      <c r="B30" s="259"/>
      <c r="C30" s="260"/>
      <c r="D30" s="91" t="s">
        <v>95</v>
      </c>
      <c r="E30" s="102">
        <v>0.4</v>
      </c>
      <c r="F30" s="4"/>
      <c r="G30" s="17">
        <f t="shared" si="0"/>
        <v>0</v>
      </c>
    </row>
    <row r="31" spans="1:7" ht="47.25">
      <c r="A31" s="258"/>
      <c r="B31" s="259"/>
      <c r="C31" s="260"/>
      <c r="D31" s="91" t="s">
        <v>96</v>
      </c>
      <c r="E31" s="102">
        <v>0.35</v>
      </c>
      <c r="F31" s="4"/>
      <c r="G31" s="17">
        <f t="shared" si="0"/>
        <v>0</v>
      </c>
    </row>
    <row r="32" spans="1:7">
      <c r="A32" s="249"/>
      <c r="B32" s="44" t="s">
        <v>848</v>
      </c>
      <c r="C32" s="249">
        <v>0.1</v>
      </c>
      <c r="D32" s="33"/>
      <c r="E32" s="34">
        <f>SUM(E29:E31)</f>
        <v>1</v>
      </c>
      <c r="F32" s="34" t="s">
        <v>51</v>
      </c>
      <c r="G32" s="34">
        <f>SUM(G29:G31)*C32</f>
        <v>0</v>
      </c>
    </row>
    <row r="33" spans="1:7" ht="78.75">
      <c r="A33" s="258">
        <v>7</v>
      </c>
      <c r="B33" s="259" t="s">
        <v>113</v>
      </c>
      <c r="C33" s="260"/>
      <c r="D33" s="91" t="s">
        <v>97</v>
      </c>
      <c r="E33" s="100">
        <v>0.35</v>
      </c>
      <c r="F33" s="4"/>
      <c r="G33" s="17">
        <f t="shared" si="0"/>
        <v>0</v>
      </c>
    </row>
    <row r="34" spans="1:7">
      <c r="A34" s="258"/>
      <c r="B34" s="259"/>
      <c r="C34" s="260"/>
      <c r="D34" s="91" t="s">
        <v>98</v>
      </c>
      <c r="E34" s="102">
        <v>0.35</v>
      </c>
      <c r="F34" s="4"/>
      <c r="G34" s="17">
        <f t="shared" si="0"/>
        <v>0</v>
      </c>
    </row>
    <row r="35" spans="1:7" ht="31.5">
      <c r="A35" s="258"/>
      <c r="B35" s="259"/>
      <c r="C35" s="260"/>
      <c r="D35" s="91" t="s">
        <v>99</v>
      </c>
      <c r="E35" s="102">
        <v>0.3</v>
      </c>
      <c r="F35" s="4"/>
      <c r="G35" s="17">
        <f t="shared" si="0"/>
        <v>0</v>
      </c>
    </row>
    <row r="36" spans="1:7">
      <c r="A36" s="249"/>
      <c r="B36" s="44" t="s">
        <v>848</v>
      </c>
      <c r="C36" s="249">
        <v>0.05</v>
      </c>
      <c r="D36" s="33"/>
      <c r="E36" s="34">
        <f>SUM(E33:E35)</f>
        <v>1</v>
      </c>
      <c r="F36" s="34" t="s">
        <v>52</v>
      </c>
      <c r="G36" s="34">
        <f>SUM(G33:G35)*C36</f>
        <v>0</v>
      </c>
    </row>
    <row r="37" spans="1:7" ht="63">
      <c r="A37" s="258">
        <v>8</v>
      </c>
      <c r="B37" s="259" t="s">
        <v>114</v>
      </c>
      <c r="C37" s="260"/>
      <c r="D37" s="91" t="s">
        <v>100</v>
      </c>
      <c r="E37" s="100">
        <v>1</v>
      </c>
      <c r="F37" s="4"/>
      <c r="G37" s="17">
        <f t="shared" si="0"/>
        <v>0</v>
      </c>
    </row>
    <row r="38" spans="1:7">
      <c r="A38" s="249"/>
      <c r="B38" s="44" t="s">
        <v>848</v>
      </c>
      <c r="C38" s="249">
        <v>0.05</v>
      </c>
      <c r="D38" s="33"/>
      <c r="E38" s="34">
        <f>SUM(E37)</f>
        <v>1</v>
      </c>
      <c r="F38" s="34" t="s">
        <v>53</v>
      </c>
      <c r="G38" s="34">
        <f>SUM(G37)*C38</f>
        <v>0</v>
      </c>
    </row>
    <row r="39" spans="1:7" ht="173.25">
      <c r="A39" s="258">
        <v>9</v>
      </c>
      <c r="B39" s="259" t="s">
        <v>115</v>
      </c>
      <c r="C39" s="260"/>
      <c r="D39" s="261" t="s">
        <v>101</v>
      </c>
      <c r="E39" s="4">
        <v>1</v>
      </c>
      <c r="F39" s="4"/>
      <c r="G39" s="17">
        <f t="shared" si="0"/>
        <v>0</v>
      </c>
    </row>
    <row r="40" spans="1:7">
      <c r="A40" s="249"/>
      <c r="B40" s="44" t="s">
        <v>848</v>
      </c>
      <c r="C40" s="249">
        <v>0.05</v>
      </c>
      <c r="D40" s="33"/>
      <c r="E40" s="34">
        <f>SUM(E39)</f>
        <v>1</v>
      </c>
      <c r="F40" s="34" t="s">
        <v>54</v>
      </c>
      <c r="G40" s="34">
        <f>SUM(G39)*C39</f>
        <v>0</v>
      </c>
    </row>
    <row r="41" spans="1:7" ht="63">
      <c r="A41" s="258">
        <v>10</v>
      </c>
      <c r="B41" s="259" t="s">
        <v>116</v>
      </c>
      <c r="C41" s="260"/>
      <c r="D41" s="91" t="s">
        <v>102</v>
      </c>
      <c r="E41" s="100">
        <v>0.65</v>
      </c>
      <c r="F41" s="4"/>
      <c r="G41" s="17">
        <f t="shared" si="0"/>
        <v>0</v>
      </c>
    </row>
    <row r="42" spans="1:7" ht="31.5">
      <c r="A42" s="258"/>
      <c r="B42" s="259"/>
      <c r="C42" s="260"/>
      <c r="D42" s="91" t="s">
        <v>103</v>
      </c>
      <c r="E42" s="102">
        <v>0.35</v>
      </c>
      <c r="F42" s="4"/>
      <c r="G42" s="17">
        <f t="shared" si="0"/>
        <v>0</v>
      </c>
    </row>
    <row r="43" spans="1:7">
      <c r="A43" s="249"/>
      <c r="B43" s="44" t="s">
        <v>848</v>
      </c>
      <c r="C43" s="249">
        <v>0.1</v>
      </c>
      <c r="D43" s="33"/>
      <c r="E43" s="34">
        <f>SUM(E41:E42)</f>
        <v>1</v>
      </c>
      <c r="F43" s="34" t="s">
        <v>55</v>
      </c>
      <c r="G43" s="34">
        <f>SUM(G41:G42)*C43</f>
        <v>0</v>
      </c>
    </row>
    <row r="44" spans="1:7" ht="78.75">
      <c r="A44" s="258">
        <v>11</v>
      </c>
      <c r="B44" s="259" t="s">
        <v>117</v>
      </c>
      <c r="C44" s="260"/>
      <c r="D44" s="91" t="s">
        <v>104</v>
      </c>
      <c r="E44" s="100">
        <v>0.5</v>
      </c>
      <c r="F44" s="4"/>
      <c r="G44" s="17">
        <f t="shared" si="0"/>
        <v>0</v>
      </c>
    </row>
    <row r="45" spans="1:7" ht="63">
      <c r="A45" s="258"/>
      <c r="B45" s="259"/>
      <c r="C45" s="260"/>
      <c r="D45" s="91" t="s">
        <v>105</v>
      </c>
      <c r="E45" s="102">
        <v>0.5</v>
      </c>
      <c r="F45" s="4"/>
      <c r="G45" s="17">
        <f t="shared" si="0"/>
        <v>0</v>
      </c>
    </row>
    <row r="46" spans="1:7">
      <c r="A46" s="249"/>
      <c r="B46" s="44" t="s">
        <v>848</v>
      </c>
      <c r="C46" s="249">
        <v>0.05</v>
      </c>
      <c r="D46" s="33"/>
      <c r="E46" s="34">
        <f>SUM(E44:E45)</f>
        <v>1</v>
      </c>
      <c r="F46" s="34" t="s">
        <v>56</v>
      </c>
      <c r="G46" s="34">
        <f>SUM(G44:G45)*C46</f>
        <v>0</v>
      </c>
    </row>
    <row r="47" spans="1:7" ht="189">
      <c r="A47" s="258">
        <v>12</v>
      </c>
      <c r="B47" s="259" t="s">
        <v>118</v>
      </c>
      <c r="C47" s="260"/>
      <c r="D47" s="91" t="s">
        <v>106</v>
      </c>
      <c r="E47" s="100">
        <v>0.15</v>
      </c>
      <c r="F47" s="4"/>
      <c r="G47" s="17">
        <f t="shared" si="0"/>
        <v>0</v>
      </c>
    </row>
    <row r="48" spans="1:7" ht="157.5">
      <c r="A48" s="258"/>
      <c r="B48" s="259"/>
      <c r="C48" s="260"/>
      <c r="D48" s="261" t="s">
        <v>107</v>
      </c>
      <c r="E48" s="102">
        <v>0.15</v>
      </c>
      <c r="F48" s="4"/>
      <c r="G48" s="17">
        <f t="shared" si="0"/>
        <v>0</v>
      </c>
    </row>
    <row r="49" spans="1:7" ht="31.5">
      <c r="A49" s="258"/>
      <c r="B49" s="259"/>
      <c r="C49" s="260"/>
      <c r="D49" s="91" t="s">
        <v>108</v>
      </c>
      <c r="E49" s="102">
        <v>0.35</v>
      </c>
      <c r="F49" s="4"/>
      <c r="G49" s="17">
        <f t="shared" si="0"/>
        <v>0</v>
      </c>
    </row>
    <row r="50" spans="1:7">
      <c r="A50" s="258"/>
      <c r="B50" s="259"/>
      <c r="C50" s="260"/>
      <c r="D50" s="91" t="s">
        <v>109</v>
      </c>
      <c r="E50" s="102">
        <v>0.35</v>
      </c>
      <c r="F50" s="4"/>
      <c r="G50" s="17">
        <f t="shared" si="0"/>
        <v>0</v>
      </c>
    </row>
    <row r="51" spans="1:7">
      <c r="A51" s="249"/>
      <c r="B51" s="44" t="s">
        <v>848</v>
      </c>
      <c r="C51" s="249">
        <v>0.1</v>
      </c>
      <c r="D51" s="33"/>
      <c r="E51" s="34">
        <f>SUM(E47:E50)</f>
        <v>0.99999999999999989</v>
      </c>
      <c r="F51" s="34" t="s">
        <v>57</v>
      </c>
      <c r="G51" s="34">
        <f>SUM(G47:G50)*C51</f>
        <v>0</v>
      </c>
    </row>
    <row r="52" spans="1:7" s="266" customFormat="1">
      <c r="A52" s="262"/>
      <c r="B52" s="263" t="s">
        <v>443</v>
      </c>
      <c r="C52" s="262">
        <f>SUBTOTAL(9,C8,C12,C17,C23,C28,C32,C36,C38,C40,C43,C46,C51)</f>
        <v>1.0000000000000002</v>
      </c>
      <c r="D52" s="264"/>
      <c r="E52" s="265">
        <v>12</v>
      </c>
      <c r="F52" s="264"/>
      <c r="G52" s="265">
        <f>SUBTOTAL(9,G8,G12,G17,G23,G28,G32,G36,G38,G40,G43,G51)</f>
        <v>0</v>
      </c>
    </row>
    <row r="53" spans="1:7" s="266" customFormat="1">
      <c r="A53" s="258"/>
      <c r="B53" s="24" t="s">
        <v>444</v>
      </c>
      <c r="C53" s="95"/>
      <c r="D53" s="13"/>
      <c r="E53" s="17"/>
      <c r="F53" s="4"/>
      <c r="G53" s="258" t="str">
        <f>IF(G52&lt;=0.5,"низький",IF(G52&lt;=0.75,"середній",(IF(G52&lt;=0.95,"достатній",(IF(G52&lt;=1,"високий"))))))</f>
        <v>низький</v>
      </c>
    </row>
    <row r="54" spans="1:7" s="302" customFormat="1">
      <c r="A54" s="288" t="s">
        <v>182</v>
      </c>
      <c r="B54" s="289"/>
      <c r="C54" s="342"/>
      <c r="E54" s="343"/>
      <c r="F54" s="344"/>
      <c r="G54" s="112"/>
    </row>
    <row r="55" spans="1:7" s="302" customFormat="1" ht="17.25">
      <c r="A55" s="345" t="s">
        <v>589</v>
      </c>
      <c r="B55" s="346"/>
      <c r="C55" s="347"/>
      <c r="D55" s="303"/>
      <c r="E55" s="348"/>
      <c r="F55" s="349"/>
      <c r="G55" s="112"/>
    </row>
    <row r="56" spans="1:7" s="302" customFormat="1" ht="17.25">
      <c r="A56" s="345" t="s">
        <v>590</v>
      </c>
      <c r="B56" s="346"/>
      <c r="C56" s="347"/>
      <c r="D56" s="303"/>
      <c r="E56" s="348"/>
      <c r="F56" s="349"/>
      <c r="G56" s="112"/>
    </row>
    <row r="57" spans="1:7" s="302" customFormat="1" ht="17.25">
      <c r="A57" s="345" t="s">
        <v>591</v>
      </c>
      <c r="B57" s="346"/>
      <c r="C57" s="347"/>
      <c r="D57" s="303"/>
      <c r="E57" s="348"/>
      <c r="F57" s="349"/>
      <c r="G57" s="112"/>
    </row>
    <row r="58" spans="1:7" s="302" customFormat="1" ht="17.25">
      <c r="A58" s="345" t="s">
        <v>592</v>
      </c>
      <c r="B58" s="346"/>
      <c r="C58" s="347"/>
      <c r="D58" s="303"/>
      <c r="E58" s="348"/>
      <c r="F58" s="349"/>
      <c r="G58" s="112"/>
    </row>
    <row r="59" spans="1:7" s="302" customFormat="1" ht="17.25">
      <c r="A59" s="345" t="s">
        <v>593</v>
      </c>
      <c r="B59" s="346"/>
      <c r="C59" s="347"/>
      <c r="D59" s="303"/>
      <c r="E59" s="348"/>
      <c r="F59" s="349"/>
      <c r="G59" s="112"/>
    </row>
    <row r="60" spans="1:7" s="302" customFormat="1" ht="17.25">
      <c r="A60" s="345" t="s">
        <v>594</v>
      </c>
      <c r="B60" s="346"/>
      <c r="C60" s="347"/>
      <c r="D60" s="303"/>
      <c r="E60" s="348"/>
      <c r="F60" s="349"/>
      <c r="G60" s="112"/>
    </row>
    <row r="61" spans="1:7" s="302" customFormat="1" ht="17.25">
      <c r="A61" s="345" t="s">
        <v>595</v>
      </c>
      <c r="B61" s="346"/>
      <c r="C61" s="347"/>
      <c r="D61" s="303"/>
      <c r="E61" s="348"/>
      <c r="F61" s="349"/>
      <c r="G61" s="112"/>
    </row>
    <row r="62" spans="1:7" s="302" customFormat="1">
      <c r="A62" s="350" t="s">
        <v>596</v>
      </c>
      <c r="B62" s="346"/>
      <c r="C62" s="347"/>
      <c r="D62" s="303"/>
      <c r="E62" s="348"/>
      <c r="F62" s="349"/>
      <c r="G62" s="112"/>
    </row>
    <row r="63" spans="1:7" s="302" customFormat="1">
      <c r="A63" s="345" t="s">
        <v>597</v>
      </c>
      <c r="B63" s="346"/>
      <c r="C63" s="347"/>
      <c r="D63" s="303"/>
      <c r="E63" s="348"/>
      <c r="F63" s="349"/>
      <c r="G63" s="112"/>
    </row>
    <row r="64" spans="1:7" s="302" customFormat="1">
      <c r="A64" s="288" t="s">
        <v>792</v>
      </c>
      <c r="B64" s="346"/>
      <c r="C64" s="347"/>
      <c r="D64" s="303"/>
      <c r="E64" s="348"/>
      <c r="F64" s="349"/>
      <c r="G64" s="112"/>
    </row>
    <row r="65" spans="1:7" s="302" customFormat="1">
      <c r="A65" s="288" t="s">
        <v>793</v>
      </c>
      <c r="B65" s="346"/>
      <c r="C65" s="347"/>
      <c r="D65" s="303"/>
      <c r="E65" s="348"/>
      <c r="F65" s="349"/>
      <c r="G65" s="112"/>
    </row>
    <row r="66" spans="1:7" s="302" customFormat="1">
      <c r="A66" s="288" t="s">
        <v>794</v>
      </c>
      <c r="B66" s="346"/>
      <c r="C66" s="347"/>
      <c r="D66" s="303"/>
      <c r="E66" s="348"/>
      <c r="F66" s="349"/>
      <c r="G66" s="112"/>
    </row>
    <row r="67" spans="1:7" s="302" customFormat="1">
      <c r="A67" s="342"/>
      <c r="B67" s="342" t="s">
        <v>20</v>
      </c>
      <c r="C67" s="342"/>
      <c r="D67" s="342"/>
      <c r="E67" s="342"/>
      <c r="F67" s="342"/>
      <c r="G67" s="342"/>
    </row>
    <row r="68" spans="1:7" s="302" customFormat="1">
      <c r="A68" s="351"/>
      <c r="B68" s="351"/>
      <c r="C68" s="351"/>
      <c r="D68" s="351"/>
      <c r="E68" s="351"/>
      <c r="F68" s="351"/>
      <c r="G68" s="351"/>
    </row>
    <row r="69" spans="1:7" s="302" customFormat="1">
      <c r="A69" s="351"/>
      <c r="B69" s="351"/>
      <c r="C69" s="351"/>
      <c r="D69" s="351"/>
      <c r="E69" s="351"/>
      <c r="F69" s="351"/>
      <c r="G69" s="351"/>
    </row>
    <row r="70" spans="1:7" s="302" customFormat="1">
      <c r="A70" s="351"/>
      <c r="B70" s="351"/>
      <c r="C70" s="351"/>
      <c r="D70" s="351"/>
      <c r="E70" s="351"/>
      <c r="F70" s="351"/>
      <c r="G70" s="351"/>
    </row>
    <row r="71" spans="1:7" s="302" customFormat="1">
      <c r="A71" s="351"/>
      <c r="B71" s="351"/>
      <c r="C71" s="351"/>
      <c r="D71" s="351"/>
      <c r="E71" s="351"/>
      <c r="F71" s="351"/>
      <c r="G71" s="351"/>
    </row>
    <row r="72" spans="1:7" s="302" customFormat="1">
      <c r="A72" s="351"/>
      <c r="B72" s="351"/>
      <c r="C72" s="351"/>
      <c r="D72" s="351"/>
      <c r="E72" s="351"/>
      <c r="F72" s="351"/>
      <c r="G72" s="351"/>
    </row>
    <row r="73" spans="1:7" s="302" customFormat="1">
      <c r="A73" s="351"/>
      <c r="B73" s="351"/>
      <c r="C73" s="351"/>
      <c r="D73" s="351"/>
      <c r="E73" s="351"/>
      <c r="F73" s="351"/>
      <c r="G73" s="351"/>
    </row>
    <row r="74" spans="1:7" s="302" customFormat="1">
      <c r="A74" s="351"/>
      <c r="B74" s="351"/>
      <c r="C74" s="351"/>
      <c r="D74" s="351"/>
      <c r="E74" s="351"/>
      <c r="F74" s="351"/>
      <c r="G74" s="351"/>
    </row>
    <row r="75" spans="1:7" s="302" customFormat="1">
      <c r="A75" s="351"/>
      <c r="B75" s="351"/>
      <c r="C75" s="351"/>
      <c r="D75" s="351"/>
      <c r="E75" s="351"/>
      <c r="F75" s="351"/>
      <c r="G75" s="351"/>
    </row>
    <row r="76" spans="1:7" s="302" customFormat="1">
      <c r="A76" s="351"/>
      <c r="B76" s="351"/>
      <c r="C76" s="351"/>
      <c r="D76" s="351"/>
      <c r="E76" s="351"/>
      <c r="F76" s="351"/>
      <c r="G76" s="351"/>
    </row>
    <row r="77" spans="1:7" s="302" customFormat="1">
      <c r="A77" s="351"/>
      <c r="B77" s="351"/>
      <c r="C77" s="351"/>
      <c r="D77" s="351"/>
      <c r="E77" s="351"/>
      <c r="F77" s="351"/>
      <c r="G77" s="351"/>
    </row>
    <row r="78" spans="1:7" s="302" customFormat="1">
      <c r="A78" s="351"/>
      <c r="B78" s="351"/>
      <c r="C78" s="351"/>
      <c r="D78" s="351"/>
      <c r="E78" s="351"/>
      <c r="F78" s="351"/>
      <c r="G78" s="351"/>
    </row>
    <row r="79" spans="1:7" s="302" customFormat="1">
      <c r="A79" s="351"/>
      <c r="B79" s="351"/>
      <c r="C79" s="351"/>
      <c r="D79" s="351"/>
      <c r="E79" s="351"/>
      <c r="F79" s="351"/>
      <c r="G79" s="351"/>
    </row>
    <row r="80" spans="1:7" s="302" customFormat="1">
      <c r="A80" s="351"/>
      <c r="B80" s="351"/>
      <c r="C80" s="351"/>
      <c r="D80" s="351"/>
      <c r="E80" s="351"/>
      <c r="F80" s="351"/>
      <c r="G80" s="351"/>
    </row>
    <row r="81" spans="1:7" s="302" customFormat="1">
      <c r="A81" s="351"/>
      <c r="B81" s="351"/>
      <c r="C81" s="351"/>
      <c r="D81" s="351"/>
      <c r="E81" s="351"/>
      <c r="F81" s="351"/>
      <c r="G81" s="351"/>
    </row>
    <row r="82" spans="1:7" s="302" customFormat="1">
      <c r="A82" s="342"/>
      <c r="B82" s="352" t="s">
        <v>2418</v>
      </c>
      <c r="C82" s="352"/>
      <c r="D82" s="352"/>
      <c r="E82" s="352"/>
      <c r="F82" s="352"/>
      <c r="G82" s="352"/>
    </row>
    <row r="83" spans="1:7" s="302" customFormat="1">
      <c r="A83" s="342"/>
      <c r="B83" s="353"/>
      <c r="C83" s="353"/>
      <c r="D83" s="353"/>
      <c r="E83" s="353"/>
      <c r="F83" s="353"/>
      <c r="G83" s="353"/>
    </row>
    <row r="84" spans="1:7" s="302" customFormat="1">
      <c r="A84" s="342"/>
      <c r="B84" s="352" t="s">
        <v>22</v>
      </c>
      <c r="C84" s="352"/>
      <c r="D84" s="352"/>
      <c r="E84" s="352"/>
      <c r="F84" s="352"/>
      <c r="G84" s="352"/>
    </row>
    <row r="85" spans="1:7" s="302" customFormat="1">
      <c r="A85" s="342"/>
      <c r="B85" s="353"/>
      <c r="C85" s="353"/>
      <c r="D85" s="353"/>
      <c r="E85" s="353"/>
      <c r="F85" s="353"/>
      <c r="G85" s="353"/>
    </row>
    <row r="86" spans="1:7" s="302" customFormat="1">
      <c r="A86" s="342"/>
      <c r="B86" s="352" t="s">
        <v>23</v>
      </c>
      <c r="C86" s="352"/>
      <c r="D86" s="352"/>
      <c r="E86" s="352"/>
      <c r="F86" s="352"/>
      <c r="G86" s="352"/>
    </row>
    <row r="87" spans="1:7" s="302" customFormat="1">
      <c r="A87" s="342"/>
      <c r="B87" s="352" t="s">
        <v>24</v>
      </c>
      <c r="C87" s="352"/>
      <c r="D87" s="352"/>
      <c r="E87" s="352"/>
      <c r="F87" s="352"/>
      <c r="G87" s="352"/>
    </row>
    <row r="88" spans="1:7" s="303" customFormat="1">
      <c r="A88" s="346"/>
      <c r="B88" s="346"/>
      <c r="E88" s="333"/>
    </row>
    <row r="89" spans="1:7" s="101" customFormat="1">
      <c r="A89" s="290"/>
      <c r="B89" s="289"/>
      <c r="C89" s="63"/>
      <c r="E89" s="63"/>
    </row>
    <row r="90" spans="1:7" s="101" customFormat="1">
      <c r="A90" s="290"/>
      <c r="B90" s="289"/>
      <c r="C90" s="63"/>
      <c r="E90" s="63"/>
    </row>
    <row r="91" spans="1:7" s="101" customFormat="1">
      <c r="A91" s="290"/>
      <c r="B91" s="289"/>
      <c r="C91" s="63"/>
      <c r="E91" s="63"/>
    </row>
  </sheetData>
  <autoFilter ref="A4:G67"/>
  <mergeCells count="2">
    <mergeCell ref="A1:G1"/>
    <mergeCell ref="A2:G2"/>
  </mergeCells>
  <phoneticPr fontId="4" type="noConversion"/>
  <pageMargins left="0.7" right="0.7" top="0.75" bottom="0.75" header="0.3" footer="0.3"/>
  <pageSetup paperSize="9" scale="65" orientation="portrait" r:id="rId1"/>
</worksheet>
</file>

<file path=xl/worksheets/sheet44.xml><?xml version="1.0" encoding="utf-8"?>
<worksheet xmlns="http://schemas.openxmlformats.org/spreadsheetml/2006/main" xmlns:r="http://schemas.openxmlformats.org/officeDocument/2006/relationships">
  <dimension ref="A3:G62"/>
  <sheetViews>
    <sheetView workbookViewId="0">
      <selection activeCell="F7" sqref="F7"/>
    </sheetView>
  </sheetViews>
  <sheetFormatPr defaultRowHeight="15"/>
  <cols>
    <col min="2" max="2" width="23.85546875" customWidth="1"/>
    <col min="3" max="3" width="13.28515625" customWidth="1"/>
    <col min="4" max="4" width="41" customWidth="1"/>
    <col min="5" max="5" width="13.28515625" customWidth="1"/>
    <col min="6" max="6" width="13" customWidth="1"/>
    <col min="7" max="7" width="12.5703125" customWidth="1"/>
  </cols>
  <sheetData>
    <row r="3" spans="1:7" ht="15.75">
      <c r="A3" s="1131" t="s">
        <v>446</v>
      </c>
      <c r="B3" s="1131"/>
      <c r="C3" s="1131"/>
      <c r="D3" s="1131"/>
      <c r="E3" s="1131"/>
      <c r="F3" s="1131"/>
      <c r="G3" s="1131"/>
    </row>
    <row r="4" spans="1:7" ht="15.75">
      <c r="A4" s="1131" t="s">
        <v>1641</v>
      </c>
      <c r="B4" s="1131"/>
      <c r="C4" s="1131"/>
      <c r="D4" s="1131"/>
      <c r="E4" s="1131"/>
      <c r="F4" s="1131"/>
      <c r="G4" s="1131"/>
    </row>
    <row r="5" spans="1:7" ht="15.75">
      <c r="A5" s="290"/>
      <c r="B5" s="289"/>
      <c r="C5" s="332"/>
      <c r="D5" s="25"/>
      <c r="E5" s="332"/>
      <c r="F5" s="332"/>
      <c r="G5" s="332"/>
    </row>
    <row r="6" spans="1:7" ht="63">
      <c r="A6" s="5" t="s">
        <v>434</v>
      </c>
      <c r="B6" s="5" t="s">
        <v>338</v>
      </c>
      <c r="C6" s="5" t="s">
        <v>771</v>
      </c>
      <c r="D6" s="5" t="s">
        <v>333</v>
      </c>
      <c r="E6" s="5" t="s">
        <v>337</v>
      </c>
      <c r="F6" s="5" t="s">
        <v>770</v>
      </c>
      <c r="G6" s="5" t="s">
        <v>82</v>
      </c>
    </row>
    <row r="7" spans="1:7" ht="129" customHeight="1">
      <c r="A7" s="291">
        <v>1</v>
      </c>
      <c r="B7" s="292" t="s">
        <v>1642</v>
      </c>
      <c r="C7" s="1"/>
      <c r="D7" s="617" t="s">
        <v>2245</v>
      </c>
      <c r="E7" s="1">
        <v>1</v>
      </c>
      <c r="F7" s="1"/>
      <c r="G7" s="1">
        <f>SUM(F7)*E7</f>
        <v>0</v>
      </c>
    </row>
    <row r="8" spans="1:7" ht="15.75">
      <c r="A8" s="41"/>
      <c r="B8" s="28" t="s">
        <v>1982</v>
      </c>
      <c r="C8" s="29">
        <v>0.1</v>
      </c>
      <c r="D8" s="32"/>
      <c r="E8" s="34">
        <f>E7</f>
        <v>1</v>
      </c>
      <c r="F8" s="29" t="s">
        <v>46</v>
      </c>
      <c r="G8" s="29">
        <f>G7*C8</f>
        <v>0</v>
      </c>
    </row>
    <row r="9" spans="1:7" ht="81" customHeight="1">
      <c r="A9" s="291">
        <v>2</v>
      </c>
      <c r="B9" s="292" t="s">
        <v>1643</v>
      </c>
      <c r="C9" s="1"/>
      <c r="D9" s="109" t="s">
        <v>1644</v>
      </c>
      <c r="E9" s="4">
        <v>0.25</v>
      </c>
      <c r="F9" s="1"/>
      <c r="G9" s="1">
        <f t="shared" ref="G9:G23" si="0">SUM(F9)*E9</f>
        <v>0</v>
      </c>
    </row>
    <row r="10" spans="1:7" ht="96.75" customHeight="1">
      <c r="A10" s="291"/>
      <c r="B10" s="292"/>
      <c r="C10" s="1"/>
      <c r="D10" s="2" t="s">
        <v>1645</v>
      </c>
      <c r="E10" s="4">
        <v>0.3</v>
      </c>
      <c r="F10" s="1"/>
      <c r="G10" s="1">
        <f t="shared" si="0"/>
        <v>0</v>
      </c>
    </row>
    <row r="11" spans="1:7" ht="95.25" customHeight="1">
      <c r="A11" s="291"/>
      <c r="B11" s="292"/>
      <c r="C11" s="1"/>
      <c r="D11" s="2" t="s">
        <v>1646</v>
      </c>
      <c r="E11" s="4">
        <v>0.3</v>
      </c>
      <c r="F11" s="1"/>
      <c r="G11" s="1">
        <f t="shared" si="0"/>
        <v>0</v>
      </c>
    </row>
    <row r="12" spans="1:7" ht="225" customHeight="1">
      <c r="A12" s="291"/>
      <c r="B12" s="292"/>
      <c r="C12" s="1"/>
      <c r="D12" s="2" t="s">
        <v>1647</v>
      </c>
      <c r="E12" s="4">
        <v>0.15</v>
      </c>
      <c r="F12" s="1"/>
      <c r="G12" s="1">
        <f t="shared" si="0"/>
        <v>0</v>
      </c>
    </row>
    <row r="13" spans="1:7" ht="15.75">
      <c r="A13" s="41"/>
      <c r="B13" s="28" t="s">
        <v>1982</v>
      </c>
      <c r="C13" s="29">
        <v>0.2</v>
      </c>
      <c r="D13" s="32"/>
      <c r="E13" s="34">
        <f>SUM(E9:E12)</f>
        <v>1</v>
      </c>
      <c r="F13" s="29" t="s">
        <v>47</v>
      </c>
      <c r="G13" s="29">
        <f>SUM(G9:G12)*C13</f>
        <v>0</v>
      </c>
    </row>
    <row r="14" spans="1:7" ht="126" customHeight="1">
      <c r="A14" s="291">
        <v>3</v>
      </c>
      <c r="B14" s="292" t="s">
        <v>1648</v>
      </c>
      <c r="C14" s="1"/>
      <c r="D14" s="2" t="s">
        <v>1649</v>
      </c>
      <c r="E14" s="1">
        <v>0.3</v>
      </c>
      <c r="F14" s="1"/>
      <c r="G14" s="1">
        <f t="shared" si="0"/>
        <v>0</v>
      </c>
    </row>
    <row r="15" spans="1:7" ht="81.75" customHeight="1">
      <c r="A15" s="291"/>
      <c r="B15" s="292"/>
      <c r="C15" s="1"/>
      <c r="D15" s="2" t="s">
        <v>778</v>
      </c>
      <c r="E15" s="1">
        <v>0.2</v>
      </c>
      <c r="F15" s="1"/>
      <c r="G15" s="1">
        <f t="shared" si="0"/>
        <v>0</v>
      </c>
    </row>
    <row r="16" spans="1:7" ht="114.75" customHeight="1">
      <c r="A16" s="291"/>
      <c r="B16" s="292"/>
      <c r="C16" s="1"/>
      <c r="D16" s="2" t="s">
        <v>1650</v>
      </c>
      <c r="E16" s="1">
        <v>0.1</v>
      </c>
      <c r="F16" s="1"/>
      <c r="G16" s="1">
        <f t="shared" si="0"/>
        <v>0</v>
      </c>
    </row>
    <row r="17" spans="1:7" ht="99" customHeight="1">
      <c r="A17" s="291"/>
      <c r="B17" s="292"/>
      <c r="C17" s="1"/>
      <c r="D17" s="2" t="s">
        <v>430</v>
      </c>
      <c r="E17" s="1">
        <v>0.4</v>
      </c>
      <c r="F17" s="1"/>
      <c r="G17" s="1">
        <f t="shared" si="0"/>
        <v>0</v>
      </c>
    </row>
    <row r="18" spans="1:7" ht="15.75">
      <c r="A18" s="41"/>
      <c r="B18" s="28" t="s">
        <v>1982</v>
      </c>
      <c r="C18" s="29">
        <v>0.3</v>
      </c>
      <c r="D18" s="32"/>
      <c r="E18" s="29">
        <f>SUM(E14:E17)</f>
        <v>1</v>
      </c>
      <c r="F18" s="29" t="s">
        <v>48</v>
      </c>
      <c r="G18" s="29">
        <f>SUM(G14:G17)*C18</f>
        <v>0</v>
      </c>
    </row>
    <row r="19" spans="1:7" ht="318.75" customHeight="1">
      <c r="A19" s="291">
        <v>4</v>
      </c>
      <c r="B19" s="292" t="s">
        <v>429</v>
      </c>
      <c r="C19" s="1"/>
      <c r="D19" s="2" t="s">
        <v>431</v>
      </c>
      <c r="E19" s="1">
        <v>0.4</v>
      </c>
      <c r="F19" s="1"/>
      <c r="G19" s="1">
        <f>SUM(F19)*E19</f>
        <v>0</v>
      </c>
    </row>
    <row r="20" spans="1:7" ht="291.75" customHeight="1">
      <c r="A20" s="291"/>
      <c r="B20" s="292"/>
      <c r="C20" s="1"/>
      <c r="D20" s="2" t="s">
        <v>432</v>
      </c>
      <c r="E20" s="1">
        <v>0.3</v>
      </c>
      <c r="F20" s="1"/>
      <c r="G20" s="1">
        <f t="shared" si="0"/>
        <v>0</v>
      </c>
    </row>
    <row r="21" spans="1:7" ht="35.25" customHeight="1">
      <c r="A21" s="291"/>
      <c r="B21" s="292"/>
      <c r="C21" s="1"/>
      <c r="D21" s="2" t="s">
        <v>774</v>
      </c>
      <c r="E21" s="1">
        <v>0.06</v>
      </c>
      <c r="F21" s="1"/>
      <c r="G21" s="1">
        <f t="shared" si="0"/>
        <v>0</v>
      </c>
    </row>
    <row r="22" spans="1:7" ht="51.75" customHeight="1">
      <c r="A22" s="291"/>
      <c r="B22" s="292"/>
      <c r="C22" s="1"/>
      <c r="D22" s="2" t="s">
        <v>775</v>
      </c>
      <c r="E22" s="1">
        <v>0.2</v>
      </c>
      <c r="F22" s="1"/>
      <c r="G22" s="1">
        <f t="shared" si="0"/>
        <v>0</v>
      </c>
    </row>
    <row r="23" spans="1:7" ht="54" customHeight="1">
      <c r="A23" s="291"/>
      <c r="B23" s="292"/>
      <c r="C23" s="1"/>
      <c r="D23" s="2" t="s">
        <v>433</v>
      </c>
      <c r="E23" s="1">
        <v>0.04</v>
      </c>
      <c r="F23" s="1"/>
      <c r="G23" s="1">
        <f t="shared" si="0"/>
        <v>0</v>
      </c>
    </row>
    <row r="24" spans="1:7" ht="15.75">
      <c r="A24" s="41"/>
      <c r="B24" s="28" t="s">
        <v>1982</v>
      </c>
      <c r="C24" s="29">
        <v>0.4</v>
      </c>
      <c r="D24" s="32"/>
      <c r="E24" s="29">
        <f>SUM(E19:E23)</f>
        <v>1</v>
      </c>
      <c r="F24" s="29" t="s">
        <v>49</v>
      </c>
      <c r="G24" s="29">
        <f>SUM(G19:G23)*C24</f>
        <v>0</v>
      </c>
    </row>
    <row r="25" spans="1:7" ht="15.75">
      <c r="A25" s="40"/>
      <c r="B25" s="28" t="s">
        <v>1982</v>
      </c>
      <c r="C25" s="39">
        <f>SUBTOTAL(9,C8,C13,C18,C24)</f>
        <v>1</v>
      </c>
      <c r="D25" s="38"/>
      <c r="E25" s="39">
        <v>4</v>
      </c>
      <c r="F25" s="39"/>
      <c r="G25" s="39">
        <f>SUBTOTAL(9,G8,G13,G18,G24)</f>
        <v>0</v>
      </c>
    </row>
    <row r="26" spans="1:7" ht="15.75">
      <c r="A26" s="12"/>
      <c r="B26" s="26" t="s">
        <v>444</v>
      </c>
      <c r="C26" s="10"/>
      <c r="D26" s="10"/>
      <c r="E26" s="11"/>
      <c r="F26" s="3"/>
      <c r="G26" s="21" t="str">
        <f>IF(G25&lt;=0.5,"низький",IF(G25&lt;=0.75,"середній",(IF(G25&lt;=0.95,"достатній",(IF(G25&lt;=1,"високий"))))))</f>
        <v>низький</v>
      </c>
    </row>
    <row r="27" spans="1:7" s="302" customFormat="1" ht="15.75">
      <c r="A27" s="288" t="s">
        <v>182</v>
      </c>
      <c r="B27" s="289"/>
      <c r="C27" s="342"/>
      <c r="E27" s="343"/>
      <c r="F27" s="344"/>
      <c r="G27" s="112"/>
    </row>
    <row r="28" spans="1:7" s="302" customFormat="1" ht="17.25">
      <c r="A28" s="345" t="s">
        <v>589</v>
      </c>
      <c r="B28" s="346"/>
      <c r="C28" s="347"/>
      <c r="D28" s="303"/>
      <c r="E28" s="348"/>
      <c r="F28" s="349"/>
      <c r="G28" s="112"/>
    </row>
    <row r="29" spans="1:7" s="302" customFormat="1" ht="17.25">
      <c r="A29" s="345" t="s">
        <v>590</v>
      </c>
      <c r="B29" s="346"/>
      <c r="C29" s="347"/>
      <c r="D29" s="303"/>
      <c r="E29" s="348"/>
      <c r="F29" s="349"/>
      <c r="G29" s="112"/>
    </row>
    <row r="30" spans="1:7" s="302" customFormat="1" ht="17.25">
      <c r="A30" s="345" t="s">
        <v>591</v>
      </c>
      <c r="B30" s="346"/>
      <c r="C30" s="347"/>
      <c r="D30" s="303"/>
      <c r="E30" s="348"/>
      <c r="F30" s="349"/>
      <c r="G30" s="112"/>
    </row>
    <row r="31" spans="1:7" s="302" customFormat="1" ht="17.25">
      <c r="A31" s="345" t="s">
        <v>592</v>
      </c>
      <c r="B31" s="346"/>
      <c r="C31" s="347"/>
      <c r="D31" s="303"/>
      <c r="E31" s="348"/>
      <c r="F31" s="349"/>
      <c r="G31" s="112"/>
    </row>
    <row r="32" spans="1:7" s="302" customFormat="1" ht="17.25">
      <c r="A32" s="345" t="s">
        <v>593</v>
      </c>
      <c r="B32" s="346"/>
      <c r="C32" s="347"/>
      <c r="D32" s="303"/>
      <c r="E32" s="348"/>
      <c r="F32" s="349"/>
      <c r="G32" s="112"/>
    </row>
    <row r="33" spans="1:7" s="302" customFormat="1" ht="17.25">
      <c r="A33" s="345" t="s">
        <v>594</v>
      </c>
      <c r="B33" s="346"/>
      <c r="C33" s="347"/>
      <c r="D33" s="303"/>
      <c r="E33" s="348"/>
      <c r="F33" s="349"/>
      <c r="G33" s="112"/>
    </row>
    <row r="34" spans="1:7" s="302" customFormat="1" ht="17.25">
      <c r="A34" s="345" t="s">
        <v>595</v>
      </c>
      <c r="B34" s="346"/>
      <c r="C34" s="347"/>
      <c r="D34" s="303"/>
      <c r="E34" s="348"/>
      <c r="F34" s="349"/>
      <c r="G34" s="112"/>
    </row>
    <row r="35" spans="1:7" s="302" customFormat="1" ht="15.75">
      <c r="A35" s="350" t="s">
        <v>596</v>
      </c>
      <c r="B35" s="346"/>
      <c r="C35" s="347"/>
      <c r="D35" s="303"/>
      <c r="E35" s="348"/>
      <c r="F35" s="349"/>
      <c r="G35" s="112"/>
    </row>
    <row r="36" spans="1:7" s="302" customFormat="1" ht="15.75">
      <c r="A36" s="345" t="s">
        <v>597</v>
      </c>
      <c r="B36" s="346"/>
      <c r="C36" s="347"/>
      <c r="D36" s="303"/>
      <c r="E36" s="348"/>
      <c r="F36" s="349"/>
      <c r="G36" s="112"/>
    </row>
    <row r="37" spans="1:7" s="302" customFormat="1" ht="15.75">
      <c r="A37" s="288" t="s">
        <v>792</v>
      </c>
      <c r="B37" s="346"/>
      <c r="C37" s="347"/>
      <c r="D37" s="303"/>
      <c r="E37" s="348"/>
      <c r="F37" s="349"/>
      <c r="G37" s="112"/>
    </row>
    <row r="38" spans="1:7" s="302" customFormat="1" ht="15.75">
      <c r="A38" s="288" t="s">
        <v>793</v>
      </c>
      <c r="B38" s="346"/>
      <c r="C38" s="347"/>
      <c r="D38" s="303"/>
      <c r="E38" s="348"/>
      <c r="F38" s="349"/>
      <c r="G38" s="112"/>
    </row>
    <row r="39" spans="1:7" s="302" customFormat="1" ht="15.75">
      <c r="A39" s="288" t="s">
        <v>794</v>
      </c>
      <c r="B39" s="346"/>
      <c r="C39" s="347"/>
      <c r="D39" s="303"/>
      <c r="E39" s="348"/>
      <c r="F39" s="349"/>
      <c r="G39" s="112"/>
    </row>
    <row r="40" spans="1:7" s="302" customFormat="1" ht="15.75">
      <c r="A40" s="342"/>
      <c r="B40" s="342" t="s">
        <v>20</v>
      </c>
      <c r="C40" s="342"/>
      <c r="D40" s="342"/>
      <c r="E40" s="342"/>
      <c r="F40" s="342"/>
      <c r="G40" s="342"/>
    </row>
    <row r="41" spans="1:7" s="302" customFormat="1" ht="15.75">
      <c r="A41" s="351"/>
      <c r="B41" s="351"/>
      <c r="C41" s="351"/>
      <c r="D41" s="351"/>
      <c r="E41" s="351"/>
      <c r="F41" s="351"/>
      <c r="G41" s="351"/>
    </row>
    <row r="42" spans="1:7" s="302" customFormat="1" ht="15.75">
      <c r="A42" s="351"/>
      <c r="B42" s="351"/>
      <c r="C42" s="351"/>
      <c r="D42" s="351"/>
      <c r="E42" s="351"/>
      <c r="F42" s="351"/>
      <c r="G42" s="351"/>
    </row>
    <row r="43" spans="1:7" s="302" customFormat="1" ht="15.75">
      <c r="A43" s="351"/>
      <c r="B43" s="351"/>
      <c r="C43" s="351"/>
      <c r="D43" s="351"/>
      <c r="E43" s="351"/>
      <c r="F43" s="351"/>
      <c r="G43" s="351"/>
    </row>
    <row r="44" spans="1:7" s="302" customFormat="1" ht="15.75">
      <c r="A44" s="351"/>
      <c r="B44" s="351"/>
      <c r="C44" s="351"/>
      <c r="D44" s="351"/>
      <c r="E44" s="351"/>
      <c r="F44" s="351"/>
      <c r="G44" s="351"/>
    </row>
    <row r="45" spans="1:7" s="302" customFormat="1" ht="15.75">
      <c r="A45" s="351"/>
      <c r="B45" s="351"/>
      <c r="C45" s="351"/>
      <c r="D45" s="351"/>
      <c r="E45" s="351"/>
      <c r="F45" s="351"/>
      <c r="G45" s="351"/>
    </row>
    <row r="46" spans="1:7" s="302" customFormat="1" ht="15.75">
      <c r="A46" s="351"/>
      <c r="B46" s="351"/>
      <c r="C46" s="351"/>
      <c r="D46" s="351"/>
      <c r="E46" s="351"/>
      <c r="F46" s="351"/>
      <c r="G46" s="351"/>
    </row>
    <row r="47" spans="1:7" s="302" customFormat="1" ht="15.75">
      <c r="A47" s="351"/>
      <c r="B47" s="351"/>
      <c r="C47" s="351"/>
      <c r="D47" s="351"/>
      <c r="E47" s="351"/>
      <c r="F47" s="351"/>
      <c r="G47" s="351"/>
    </row>
    <row r="48" spans="1:7" s="302" customFormat="1" ht="15.75">
      <c r="A48" s="351"/>
      <c r="B48" s="351"/>
      <c r="C48" s="351"/>
      <c r="D48" s="351"/>
      <c r="E48" s="351"/>
      <c r="F48" s="351"/>
      <c r="G48" s="351"/>
    </row>
    <row r="49" spans="1:7" s="302" customFormat="1" ht="15.75">
      <c r="A49" s="351"/>
      <c r="B49" s="351"/>
      <c r="C49" s="351"/>
      <c r="D49" s="351"/>
      <c r="E49" s="351"/>
      <c r="F49" s="351"/>
      <c r="G49" s="351"/>
    </row>
    <row r="50" spans="1:7" s="302" customFormat="1" ht="15.75">
      <c r="A50" s="351"/>
      <c r="B50" s="351"/>
      <c r="C50" s="351"/>
      <c r="D50" s="351"/>
      <c r="E50" s="351"/>
      <c r="F50" s="351"/>
      <c r="G50" s="351"/>
    </row>
    <row r="51" spans="1:7" s="302" customFormat="1" ht="15.75">
      <c r="A51" s="351"/>
      <c r="B51" s="351"/>
      <c r="C51" s="351"/>
      <c r="D51" s="351"/>
      <c r="E51" s="351"/>
      <c r="F51" s="351"/>
      <c r="G51" s="351"/>
    </row>
    <row r="52" spans="1:7" s="302" customFormat="1" ht="15.75">
      <c r="A52" s="351"/>
      <c r="B52" s="351"/>
      <c r="C52" s="351"/>
      <c r="D52" s="351"/>
      <c r="E52" s="351"/>
      <c r="F52" s="351"/>
      <c r="G52" s="351"/>
    </row>
    <row r="53" spans="1:7" s="302" customFormat="1" ht="15.75">
      <c r="A53" s="351"/>
      <c r="B53" s="351"/>
      <c r="C53" s="351"/>
      <c r="D53" s="351"/>
      <c r="E53" s="351"/>
      <c r="F53" s="351"/>
      <c r="G53" s="351"/>
    </row>
    <row r="54" spans="1:7" s="302" customFormat="1" ht="15.75">
      <c r="A54" s="351"/>
      <c r="B54" s="351"/>
      <c r="C54" s="351"/>
      <c r="D54" s="351"/>
      <c r="E54" s="351"/>
      <c r="F54" s="351"/>
      <c r="G54" s="351"/>
    </row>
    <row r="55" spans="1:7" s="302" customFormat="1" ht="15.75">
      <c r="A55" s="342"/>
      <c r="B55" s="352" t="s">
        <v>2418</v>
      </c>
      <c r="C55" s="352"/>
      <c r="D55" s="352"/>
      <c r="E55" s="352"/>
      <c r="F55" s="352"/>
      <c r="G55" s="352"/>
    </row>
    <row r="56" spans="1:7" s="302" customFormat="1" ht="15.75">
      <c r="A56" s="342"/>
      <c r="B56" s="353"/>
      <c r="C56" s="353"/>
      <c r="D56" s="353"/>
      <c r="E56" s="353"/>
      <c r="F56" s="353"/>
      <c r="G56" s="353"/>
    </row>
    <row r="57" spans="1:7" s="302" customFormat="1" ht="15.75">
      <c r="A57" s="342"/>
      <c r="B57" s="352" t="s">
        <v>22</v>
      </c>
      <c r="C57" s="352"/>
      <c r="D57" s="352"/>
      <c r="E57" s="352"/>
      <c r="F57" s="352"/>
      <c r="G57" s="352"/>
    </row>
    <row r="58" spans="1:7" s="302" customFormat="1" ht="15.75">
      <c r="A58" s="342"/>
      <c r="B58" s="353"/>
      <c r="C58" s="353"/>
      <c r="D58" s="353"/>
      <c r="E58" s="353"/>
      <c r="F58" s="353"/>
      <c r="G58" s="353"/>
    </row>
    <row r="59" spans="1:7" s="302" customFormat="1" ht="15.75">
      <c r="A59" s="342"/>
      <c r="B59" s="352" t="s">
        <v>23</v>
      </c>
      <c r="C59" s="352"/>
      <c r="D59" s="352"/>
      <c r="E59" s="352"/>
      <c r="F59" s="352"/>
      <c r="G59" s="352"/>
    </row>
    <row r="60" spans="1:7" s="302" customFormat="1" ht="15.75">
      <c r="A60" s="342"/>
      <c r="B60" s="352" t="s">
        <v>24</v>
      </c>
      <c r="C60" s="352"/>
      <c r="D60" s="352"/>
      <c r="E60" s="352"/>
      <c r="F60" s="352"/>
      <c r="G60" s="352"/>
    </row>
    <row r="61" spans="1:7" s="303" customFormat="1" ht="15.75">
      <c r="A61" s="346"/>
      <c r="B61" s="346"/>
      <c r="E61" s="333"/>
    </row>
    <row r="62" spans="1:7" ht="15.75">
      <c r="A62" s="290"/>
      <c r="B62" s="289"/>
      <c r="C62" s="332"/>
      <c r="D62" s="25"/>
      <c r="E62" s="332"/>
      <c r="F62" s="332"/>
      <c r="G62" s="25"/>
    </row>
  </sheetData>
  <mergeCells count="2">
    <mergeCell ref="A3:G3"/>
    <mergeCell ref="A4:G4"/>
  </mergeCells>
  <phoneticPr fontId="4" type="noConversion"/>
  <pageMargins left="0.7" right="0.7" top="0.75" bottom="0.75" header="0.3" footer="0.3"/>
  <pageSetup paperSize="9" scale="65" orientation="portrait" r:id="rId1"/>
</worksheet>
</file>

<file path=xl/worksheets/sheet45.xml><?xml version="1.0" encoding="utf-8"?>
<worksheet xmlns="http://schemas.openxmlformats.org/spreadsheetml/2006/main" xmlns:r="http://schemas.openxmlformats.org/officeDocument/2006/relationships">
  <dimension ref="A2:G63"/>
  <sheetViews>
    <sheetView zoomScale="80" zoomScaleNormal="80" workbookViewId="0">
      <selection activeCell="F6" sqref="F6"/>
    </sheetView>
  </sheetViews>
  <sheetFormatPr defaultRowHeight="15"/>
  <cols>
    <col min="1" max="1" width="7.5703125" customWidth="1"/>
    <col min="2" max="2" width="25.28515625" customWidth="1"/>
    <col min="3" max="3" width="12.85546875" customWidth="1"/>
    <col min="4" max="4" width="44.5703125" customWidth="1"/>
    <col min="5" max="5" width="13.7109375" customWidth="1"/>
    <col min="6" max="6" width="13.28515625" customWidth="1"/>
    <col min="7" max="7" width="12" customWidth="1"/>
  </cols>
  <sheetData>
    <row r="2" spans="1:7" ht="15.75" customHeight="1">
      <c r="A2" s="1131" t="s">
        <v>446</v>
      </c>
      <c r="B2" s="1131"/>
      <c r="C2" s="1131"/>
      <c r="D2" s="1131"/>
      <c r="E2" s="1131"/>
      <c r="F2" s="1131"/>
      <c r="G2" s="1131"/>
    </row>
    <row r="3" spans="1:7" ht="15.75" customHeight="1">
      <c r="A3" s="1131" t="s">
        <v>2246</v>
      </c>
      <c r="B3" s="1131"/>
      <c r="C3" s="1131"/>
      <c r="D3" s="1131"/>
      <c r="E3" s="1131"/>
      <c r="F3" s="1131"/>
      <c r="G3" s="1131"/>
    </row>
    <row r="4" spans="1:7" ht="15.75">
      <c r="A4" s="290"/>
      <c r="B4" s="289"/>
      <c r="C4" s="332"/>
      <c r="D4" s="25"/>
      <c r="E4" s="332"/>
      <c r="F4" s="332"/>
      <c r="G4" s="332"/>
    </row>
    <row r="5" spans="1:7" ht="63">
      <c r="A5" s="5" t="s">
        <v>434</v>
      </c>
      <c r="B5" s="5" t="s">
        <v>338</v>
      </c>
      <c r="C5" s="5" t="s">
        <v>771</v>
      </c>
      <c r="D5" s="5" t="s">
        <v>333</v>
      </c>
      <c r="E5" s="5" t="s">
        <v>337</v>
      </c>
      <c r="F5" s="5" t="s">
        <v>770</v>
      </c>
      <c r="G5" s="5" t="s">
        <v>82</v>
      </c>
    </row>
    <row r="6" spans="1:7" ht="69.75" customHeight="1">
      <c r="A6" s="291">
        <v>1</v>
      </c>
      <c r="B6" s="862" t="s">
        <v>2247</v>
      </c>
      <c r="C6" s="863"/>
      <c r="D6" s="864" t="s">
        <v>2248</v>
      </c>
      <c r="E6" s="865">
        <v>1</v>
      </c>
      <c r="F6" s="778"/>
      <c r="G6" s="1">
        <f>SUM(F6)*E6</f>
        <v>0</v>
      </c>
    </row>
    <row r="7" spans="1:7" ht="15.75">
      <c r="A7" s="41"/>
      <c r="B7" s="28" t="s">
        <v>1982</v>
      </c>
      <c r="C7" s="29">
        <v>0.1</v>
      </c>
      <c r="D7" s="32"/>
      <c r="E7" s="34">
        <f>E6</f>
        <v>1</v>
      </c>
      <c r="F7" s="29" t="s">
        <v>46</v>
      </c>
      <c r="G7" s="29">
        <f>G6*C7</f>
        <v>0</v>
      </c>
    </row>
    <row r="8" spans="1:7" ht="82.5" customHeight="1">
      <c r="A8" s="291">
        <v>2</v>
      </c>
      <c r="B8" s="292" t="s">
        <v>2249</v>
      </c>
      <c r="C8" s="1"/>
      <c r="D8" s="109" t="s">
        <v>2250</v>
      </c>
      <c r="E8" s="4">
        <v>0.05</v>
      </c>
      <c r="F8" s="1"/>
      <c r="G8" s="1">
        <f t="shared" ref="G8:G25" si="0">SUM(F8)*E8</f>
        <v>0</v>
      </c>
    </row>
    <row r="9" spans="1:7" ht="22.5" customHeight="1">
      <c r="A9" s="291"/>
      <c r="B9" s="292"/>
      <c r="C9" s="1"/>
      <c r="D9" s="2" t="s">
        <v>772</v>
      </c>
      <c r="E9" s="4">
        <v>0.1</v>
      </c>
      <c r="F9" s="1"/>
      <c r="G9" s="1">
        <f t="shared" si="0"/>
        <v>0</v>
      </c>
    </row>
    <row r="10" spans="1:7" ht="50.25" customHeight="1">
      <c r="A10" s="291"/>
      <c r="B10" s="292"/>
      <c r="C10" s="1"/>
      <c r="D10" s="2" t="s">
        <v>2251</v>
      </c>
      <c r="E10" s="4">
        <v>0.1</v>
      </c>
      <c r="F10" s="1"/>
      <c r="G10" s="1">
        <f t="shared" si="0"/>
        <v>0</v>
      </c>
    </row>
    <row r="11" spans="1:7" ht="101.25" customHeight="1">
      <c r="A11" s="291"/>
      <c r="B11" s="292"/>
      <c r="C11" s="1"/>
      <c r="D11" s="2" t="s">
        <v>2252</v>
      </c>
      <c r="E11" s="4">
        <v>0.15</v>
      </c>
      <c r="F11" s="1"/>
      <c r="G11" s="1">
        <f t="shared" si="0"/>
        <v>0</v>
      </c>
    </row>
    <row r="12" spans="1:7" ht="296.25" customHeight="1">
      <c r="A12" s="291"/>
      <c r="B12" s="292"/>
      <c r="C12" s="1"/>
      <c r="D12" s="2" t="s">
        <v>773</v>
      </c>
      <c r="E12" s="4">
        <v>0.6</v>
      </c>
      <c r="F12" s="1"/>
      <c r="G12" s="1">
        <f t="shared" si="0"/>
        <v>0</v>
      </c>
    </row>
    <row r="13" spans="1:7" ht="15.75">
      <c r="A13" s="41"/>
      <c r="B13" s="28" t="s">
        <v>1982</v>
      </c>
      <c r="C13" s="29">
        <v>0.2</v>
      </c>
      <c r="D13" s="32"/>
      <c r="E13" s="34">
        <f>SUM(E8:E12)</f>
        <v>1</v>
      </c>
      <c r="F13" s="29" t="s">
        <v>47</v>
      </c>
      <c r="G13" s="29">
        <f>SUM(G8:G12)*C13</f>
        <v>0</v>
      </c>
    </row>
    <row r="14" spans="1:7" ht="115.5" customHeight="1">
      <c r="A14" s="291">
        <v>3</v>
      </c>
      <c r="B14" s="292" t="s">
        <v>776</v>
      </c>
      <c r="C14" s="1">
        <v>1</v>
      </c>
      <c r="D14" s="2" t="s">
        <v>777</v>
      </c>
      <c r="E14" s="1">
        <v>0.3</v>
      </c>
      <c r="F14" s="1"/>
      <c r="G14" s="1">
        <f t="shared" si="0"/>
        <v>0</v>
      </c>
    </row>
    <row r="15" spans="1:7" ht="98.25" customHeight="1">
      <c r="A15" s="291"/>
      <c r="B15" s="292"/>
      <c r="C15" s="1">
        <v>2</v>
      </c>
      <c r="D15" s="2" t="s">
        <v>430</v>
      </c>
      <c r="E15" s="1">
        <v>0.3</v>
      </c>
      <c r="F15" s="1"/>
      <c r="G15" s="1">
        <f t="shared" si="0"/>
        <v>0</v>
      </c>
    </row>
    <row r="16" spans="1:7" ht="84" customHeight="1">
      <c r="A16" s="291"/>
      <c r="B16" s="292"/>
      <c r="C16" s="1">
        <v>3</v>
      </c>
      <c r="D16" s="2" t="s">
        <v>778</v>
      </c>
      <c r="E16" s="1">
        <v>0.2</v>
      </c>
      <c r="F16" s="1"/>
      <c r="G16" s="1">
        <f t="shared" si="0"/>
        <v>0</v>
      </c>
    </row>
    <row r="17" spans="1:7" ht="191.25" customHeight="1">
      <c r="A17" s="291"/>
      <c r="B17" s="292"/>
      <c r="C17" s="1">
        <v>4</v>
      </c>
      <c r="D17" s="2" t="s">
        <v>779</v>
      </c>
      <c r="E17" s="1">
        <v>0.1</v>
      </c>
      <c r="F17" s="1"/>
      <c r="G17" s="1">
        <f t="shared" si="0"/>
        <v>0</v>
      </c>
    </row>
    <row r="18" spans="1:7" ht="84" customHeight="1">
      <c r="A18" s="291"/>
      <c r="B18" s="292"/>
      <c r="C18" s="1">
        <v>5</v>
      </c>
      <c r="D18" s="866" t="s">
        <v>2253</v>
      </c>
      <c r="E18" s="1">
        <v>0.1</v>
      </c>
      <c r="F18" s="1"/>
      <c r="G18" s="1">
        <f t="shared" si="0"/>
        <v>0</v>
      </c>
    </row>
    <row r="19" spans="1:7" ht="15.75">
      <c r="A19" s="41"/>
      <c r="B19" s="28" t="s">
        <v>1982</v>
      </c>
      <c r="C19" s="29">
        <v>0.3</v>
      </c>
      <c r="D19" s="32"/>
      <c r="E19" s="29">
        <f>SUM(E14:E18)</f>
        <v>1</v>
      </c>
      <c r="F19" s="29" t="s">
        <v>48</v>
      </c>
      <c r="G19" s="29">
        <f>SUM(G14:G18)*C19</f>
        <v>0</v>
      </c>
    </row>
    <row r="20" spans="1:7" ht="178.5" customHeight="1">
      <c r="A20" s="291">
        <v>4</v>
      </c>
      <c r="B20" s="292" t="s">
        <v>429</v>
      </c>
      <c r="C20" s="1"/>
      <c r="D20" s="617" t="s">
        <v>2254</v>
      </c>
      <c r="E20" s="1">
        <v>0.05</v>
      </c>
      <c r="F20" s="1"/>
      <c r="G20" s="1">
        <f>SUM(F20)*E20</f>
        <v>0</v>
      </c>
    </row>
    <row r="21" spans="1:7" ht="273.75" customHeight="1">
      <c r="A21" s="291"/>
      <c r="B21" s="292"/>
      <c r="C21" s="1"/>
      <c r="D21" s="2" t="s">
        <v>431</v>
      </c>
      <c r="E21" s="1">
        <v>0.4</v>
      </c>
      <c r="F21" s="1"/>
      <c r="G21" s="1">
        <f t="shared" si="0"/>
        <v>0</v>
      </c>
    </row>
    <row r="22" spans="1:7" ht="275.25" customHeight="1">
      <c r="A22" s="291"/>
      <c r="B22" s="292"/>
      <c r="C22" s="1"/>
      <c r="D22" s="2" t="s">
        <v>432</v>
      </c>
      <c r="E22" s="1">
        <v>0.25</v>
      </c>
      <c r="F22" s="1"/>
      <c r="G22" s="1">
        <f t="shared" si="0"/>
        <v>0</v>
      </c>
    </row>
    <row r="23" spans="1:7" ht="39.75" customHeight="1">
      <c r="A23" s="291"/>
      <c r="B23" s="292"/>
      <c r="C23" s="1"/>
      <c r="D23" s="2" t="s">
        <v>774</v>
      </c>
      <c r="E23" s="1">
        <v>0.06</v>
      </c>
      <c r="F23" s="1"/>
      <c r="G23" s="1">
        <f t="shared" si="0"/>
        <v>0</v>
      </c>
    </row>
    <row r="24" spans="1:7" ht="55.5" customHeight="1">
      <c r="A24" s="291"/>
      <c r="B24" s="292"/>
      <c r="C24" s="1"/>
      <c r="D24" s="2" t="s">
        <v>775</v>
      </c>
      <c r="E24" s="1">
        <v>0.2</v>
      </c>
      <c r="F24" s="1"/>
      <c r="G24" s="1">
        <f t="shared" si="0"/>
        <v>0</v>
      </c>
    </row>
    <row r="25" spans="1:7" ht="133.5" customHeight="1">
      <c r="A25" s="291"/>
      <c r="B25" s="292"/>
      <c r="C25" s="1"/>
      <c r="D25" s="2" t="s">
        <v>433</v>
      </c>
      <c r="E25" s="1">
        <v>0.04</v>
      </c>
      <c r="F25" s="1"/>
      <c r="G25" s="1">
        <f t="shared" si="0"/>
        <v>0</v>
      </c>
    </row>
    <row r="26" spans="1:7" ht="15.75">
      <c r="A26" s="41"/>
      <c r="B26" s="28" t="s">
        <v>1982</v>
      </c>
      <c r="C26" s="29">
        <v>0.4</v>
      </c>
      <c r="D26" s="32"/>
      <c r="E26" s="29">
        <f>SUM(E20:E25)</f>
        <v>1</v>
      </c>
      <c r="F26" s="29" t="s">
        <v>49</v>
      </c>
      <c r="G26" s="29">
        <f>SUM(G20:G25)*C26</f>
        <v>0</v>
      </c>
    </row>
    <row r="27" spans="1:7" ht="15.75">
      <c r="A27" s="40"/>
      <c r="B27" s="28" t="s">
        <v>1982</v>
      </c>
      <c r="C27" s="39">
        <f>SUBTOTAL(9,C7,C13,C19,C26)</f>
        <v>1</v>
      </c>
      <c r="D27" s="38"/>
      <c r="E27" s="39">
        <v>4</v>
      </c>
      <c r="F27" s="39"/>
      <c r="G27" s="39">
        <f>SUBTOTAL(9,G7,G13,G19,G26)</f>
        <v>0</v>
      </c>
    </row>
    <row r="28" spans="1:7" ht="15.75">
      <c r="A28" s="12"/>
      <c r="B28" s="26" t="s">
        <v>444</v>
      </c>
      <c r="C28" s="10"/>
      <c r="D28" s="10"/>
      <c r="E28" s="11"/>
      <c r="F28" s="3"/>
      <c r="G28" s="21" t="str">
        <f>IF(G27&lt;=0.5,"низький",IF(G27&lt;=0.75,"середній",(IF(G27&lt;=0.95,"достатній",(IF(G27&lt;=1,"високий"))))))</f>
        <v>низький</v>
      </c>
    </row>
    <row r="29" spans="1:7" s="302" customFormat="1" ht="15.75">
      <c r="A29" s="288" t="s">
        <v>182</v>
      </c>
      <c r="B29" s="289"/>
      <c r="C29" s="342"/>
      <c r="E29" s="343"/>
      <c r="F29" s="344"/>
      <c r="G29" s="112"/>
    </row>
    <row r="30" spans="1:7" s="302" customFormat="1" ht="17.25">
      <c r="A30" s="345" t="s">
        <v>589</v>
      </c>
      <c r="B30" s="346"/>
      <c r="C30" s="347"/>
      <c r="D30" s="303"/>
      <c r="E30" s="348"/>
      <c r="F30" s="349"/>
      <c r="G30" s="112"/>
    </row>
    <row r="31" spans="1:7" s="302" customFormat="1" ht="17.25">
      <c r="A31" s="345" t="s">
        <v>590</v>
      </c>
      <c r="B31" s="346"/>
      <c r="C31" s="347"/>
      <c r="D31" s="303"/>
      <c r="E31" s="348"/>
      <c r="F31" s="349"/>
      <c r="G31" s="112"/>
    </row>
    <row r="32" spans="1:7" s="302" customFormat="1" ht="17.25">
      <c r="A32" s="345" t="s">
        <v>591</v>
      </c>
      <c r="B32" s="346"/>
      <c r="C32" s="347"/>
      <c r="D32" s="303"/>
      <c r="E32" s="348"/>
      <c r="F32" s="349"/>
      <c r="G32" s="112"/>
    </row>
    <row r="33" spans="1:7" s="302" customFormat="1" ht="17.25">
      <c r="A33" s="345" t="s">
        <v>592</v>
      </c>
      <c r="B33" s="346"/>
      <c r="C33" s="347"/>
      <c r="D33" s="303"/>
      <c r="E33" s="348"/>
      <c r="F33" s="349"/>
      <c r="G33" s="112"/>
    </row>
    <row r="34" spans="1:7" s="302" customFormat="1" ht="17.25">
      <c r="A34" s="345" t="s">
        <v>593</v>
      </c>
      <c r="B34" s="346"/>
      <c r="C34" s="347"/>
      <c r="D34" s="303"/>
      <c r="E34" s="348"/>
      <c r="F34" s="349"/>
      <c r="G34" s="112"/>
    </row>
    <row r="35" spans="1:7" s="302" customFormat="1" ht="17.25">
      <c r="A35" s="345" t="s">
        <v>594</v>
      </c>
      <c r="B35" s="346"/>
      <c r="C35" s="347"/>
      <c r="D35" s="303"/>
      <c r="E35" s="348"/>
      <c r="F35" s="349"/>
      <c r="G35" s="112"/>
    </row>
    <row r="36" spans="1:7" s="302" customFormat="1" ht="17.25">
      <c r="A36" s="345" t="s">
        <v>595</v>
      </c>
      <c r="B36" s="346"/>
      <c r="C36" s="347"/>
      <c r="D36" s="303"/>
      <c r="E36" s="348"/>
      <c r="F36" s="349"/>
      <c r="G36" s="112"/>
    </row>
    <row r="37" spans="1:7" s="302" customFormat="1" ht="15.75">
      <c r="A37" s="350" t="s">
        <v>596</v>
      </c>
      <c r="B37" s="346"/>
      <c r="C37" s="347"/>
      <c r="D37" s="303"/>
      <c r="E37" s="348"/>
      <c r="F37" s="349"/>
      <c r="G37" s="112"/>
    </row>
    <row r="38" spans="1:7" s="302" customFormat="1" ht="15.75">
      <c r="A38" s="345" t="s">
        <v>597</v>
      </c>
      <c r="B38" s="346"/>
      <c r="C38" s="347"/>
      <c r="D38" s="303"/>
      <c r="E38" s="348"/>
      <c r="F38" s="349"/>
      <c r="G38" s="112"/>
    </row>
    <row r="39" spans="1:7" s="302" customFormat="1" ht="15.75">
      <c r="A39" s="288" t="s">
        <v>792</v>
      </c>
      <c r="B39" s="346"/>
      <c r="C39" s="347"/>
      <c r="D39" s="303"/>
      <c r="E39" s="348"/>
      <c r="F39" s="349"/>
      <c r="G39" s="112"/>
    </row>
    <row r="40" spans="1:7" s="302" customFormat="1" ht="15.75">
      <c r="A40" s="288" t="s">
        <v>793</v>
      </c>
      <c r="B40" s="346"/>
      <c r="C40" s="347"/>
      <c r="D40" s="303"/>
      <c r="E40" s="348"/>
      <c r="F40" s="349"/>
      <c r="G40" s="112"/>
    </row>
    <row r="41" spans="1:7" s="302" customFormat="1" ht="15.75">
      <c r="A41" s="288" t="s">
        <v>794</v>
      </c>
      <c r="B41" s="346"/>
      <c r="C41" s="347"/>
      <c r="D41" s="303"/>
      <c r="E41" s="348"/>
      <c r="F41" s="349"/>
      <c r="G41" s="112"/>
    </row>
    <row r="42" spans="1:7" s="302" customFormat="1" ht="15.75">
      <c r="A42" s="342"/>
      <c r="B42" s="342" t="s">
        <v>20</v>
      </c>
      <c r="C42" s="342"/>
      <c r="D42" s="342"/>
      <c r="E42" s="342"/>
      <c r="F42" s="342"/>
      <c r="G42" s="342"/>
    </row>
    <row r="43" spans="1:7" s="302" customFormat="1" ht="15.75">
      <c r="A43" s="351"/>
      <c r="B43" s="351"/>
      <c r="C43" s="351"/>
      <c r="D43" s="351"/>
      <c r="E43" s="351"/>
      <c r="F43" s="351"/>
      <c r="G43" s="351"/>
    </row>
    <row r="44" spans="1:7" s="302" customFormat="1" ht="15.75">
      <c r="A44" s="351"/>
      <c r="B44" s="351"/>
      <c r="C44" s="351"/>
      <c r="D44" s="351"/>
      <c r="E44" s="351"/>
      <c r="F44" s="351"/>
      <c r="G44" s="351"/>
    </row>
    <row r="45" spans="1:7" s="302" customFormat="1" ht="15.75">
      <c r="A45" s="351"/>
      <c r="B45" s="351"/>
      <c r="C45" s="351"/>
      <c r="D45" s="351"/>
      <c r="E45" s="351"/>
      <c r="F45" s="351"/>
      <c r="G45" s="351"/>
    </row>
    <row r="46" spans="1:7" s="302" customFormat="1" ht="15.75">
      <c r="A46" s="351"/>
      <c r="B46" s="351"/>
      <c r="C46" s="351"/>
      <c r="D46" s="351"/>
      <c r="E46" s="351"/>
      <c r="F46" s="351"/>
      <c r="G46" s="351"/>
    </row>
    <row r="47" spans="1:7" s="302" customFormat="1" ht="15.75">
      <c r="A47" s="351"/>
      <c r="B47" s="351"/>
      <c r="C47" s="351"/>
      <c r="D47" s="351"/>
      <c r="E47" s="351"/>
      <c r="F47" s="351"/>
      <c r="G47" s="351"/>
    </row>
    <row r="48" spans="1:7" s="302" customFormat="1" ht="15.75">
      <c r="A48" s="351"/>
      <c r="B48" s="351"/>
      <c r="C48" s="351"/>
      <c r="D48" s="351"/>
      <c r="E48" s="351"/>
      <c r="F48" s="351"/>
      <c r="G48" s="351"/>
    </row>
    <row r="49" spans="1:7" s="302" customFormat="1" ht="15.75">
      <c r="A49" s="351"/>
      <c r="B49" s="351"/>
      <c r="C49" s="351"/>
      <c r="D49" s="351"/>
      <c r="E49" s="351"/>
      <c r="F49" s="351"/>
      <c r="G49" s="351"/>
    </row>
    <row r="50" spans="1:7" s="302" customFormat="1" ht="15.75">
      <c r="A50" s="351"/>
      <c r="B50" s="351"/>
      <c r="C50" s="351"/>
      <c r="D50" s="351"/>
      <c r="E50" s="351"/>
      <c r="F50" s="351"/>
      <c r="G50" s="351"/>
    </row>
    <row r="51" spans="1:7" s="302" customFormat="1" ht="15.75">
      <c r="A51" s="351"/>
      <c r="B51" s="351"/>
      <c r="C51" s="351"/>
      <c r="D51" s="351"/>
      <c r="E51" s="351"/>
      <c r="F51" s="351"/>
      <c r="G51" s="351"/>
    </row>
    <row r="52" spans="1:7" s="302" customFormat="1" ht="15.75">
      <c r="A52" s="351"/>
      <c r="B52" s="351"/>
      <c r="C52" s="351"/>
      <c r="D52" s="351"/>
      <c r="E52" s="351"/>
      <c r="F52" s="351"/>
      <c r="G52" s="351"/>
    </row>
    <row r="53" spans="1:7" s="302" customFormat="1" ht="15.75">
      <c r="A53" s="351"/>
      <c r="B53" s="351"/>
      <c r="C53" s="351"/>
      <c r="D53" s="351"/>
      <c r="E53" s="351"/>
      <c r="F53" s="351"/>
      <c r="G53" s="351"/>
    </row>
    <row r="54" spans="1:7" s="302" customFormat="1" ht="15.75">
      <c r="A54" s="351"/>
      <c r="B54" s="351"/>
      <c r="C54" s="351"/>
      <c r="D54" s="351"/>
      <c r="E54" s="351"/>
      <c r="F54" s="351"/>
      <c r="G54" s="351"/>
    </row>
    <row r="55" spans="1:7" s="302" customFormat="1" ht="15.75">
      <c r="A55" s="351"/>
      <c r="B55" s="351"/>
      <c r="C55" s="351"/>
      <c r="D55" s="351"/>
      <c r="E55" s="351"/>
      <c r="F55" s="351"/>
      <c r="G55" s="351"/>
    </row>
    <row r="56" spans="1:7" s="302" customFormat="1" ht="15.75">
      <c r="A56" s="351"/>
      <c r="B56" s="351"/>
      <c r="C56" s="351"/>
      <c r="D56" s="351"/>
      <c r="E56" s="351"/>
      <c r="F56" s="351"/>
      <c r="G56" s="351"/>
    </row>
    <row r="57" spans="1:7" s="302" customFormat="1" ht="15.75">
      <c r="A57" s="342"/>
      <c r="B57" s="352" t="s">
        <v>2418</v>
      </c>
      <c r="C57" s="352"/>
      <c r="D57" s="352"/>
      <c r="E57" s="352"/>
      <c r="F57" s="352"/>
      <c r="G57" s="352"/>
    </row>
    <row r="58" spans="1:7" s="302" customFormat="1" ht="15.75">
      <c r="A58" s="342"/>
      <c r="B58" s="353"/>
      <c r="C58" s="353"/>
      <c r="D58" s="353"/>
      <c r="E58" s="353"/>
      <c r="F58" s="353"/>
      <c r="G58" s="353"/>
    </row>
    <row r="59" spans="1:7" s="302" customFormat="1" ht="15.75">
      <c r="A59" s="342"/>
      <c r="B59" s="352" t="s">
        <v>22</v>
      </c>
      <c r="C59" s="352"/>
      <c r="D59" s="352"/>
      <c r="E59" s="352"/>
      <c r="F59" s="352"/>
      <c r="G59" s="352"/>
    </row>
    <row r="60" spans="1:7" s="302" customFormat="1" ht="15.75">
      <c r="A60" s="342"/>
      <c r="B60" s="353"/>
      <c r="C60" s="353"/>
      <c r="D60" s="353"/>
      <c r="E60" s="353"/>
      <c r="F60" s="353"/>
      <c r="G60" s="353"/>
    </row>
    <row r="61" spans="1:7" s="302" customFormat="1" ht="15.75">
      <c r="A61" s="342"/>
      <c r="B61" s="352" t="s">
        <v>23</v>
      </c>
      <c r="C61" s="352"/>
      <c r="D61" s="352"/>
      <c r="E61" s="352"/>
      <c r="F61" s="352"/>
      <c r="G61" s="352"/>
    </row>
    <row r="62" spans="1:7" s="302" customFormat="1" ht="15.75">
      <c r="A62" s="342"/>
      <c r="B62" s="352" t="s">
        <v>24</v>
      </c>
      <c r="C62" s="352"/>
      <c r="D62" s="352"/>
      <c r="E62" s="352"/>
      <c r="F62" s="352"/>
      <c r="G62" s="352"/>
    </row>
    <row r="63" spans="1:7" s="303" customFormat="1" ht="15.75">
      <c r="A63" s="346"/>
      <c r="B63" s="346"/>
      <c r="E63" s="333"/>
    </row>
  </sheetData>
  <autoFilter ref="A4:G41"/>
  <mergeCells count="2">
    <mergeCell ref="A2:G2"/>
    <mergeCell ref="A3:G3"/>
  </mergeCells>
  <phoneticPr fontId="4" type="noConversion"/>
  <pageMargins left="0.7" right="0.7" top="0.75" bottom="0.75" header="0.3" footer="0.3"/>
  <pageSetup paperSize="9" scale="65" orientation="portrait" r:id="rId1"/>
</worksheet>
</file>

<file path=xl/worksheets/sheet46.xml><?xml version="1.0" encoding="utf-8"?>
<worksheet xmlns="http://schemas.openxmlformats.org/spreadsheetml/2006/main" xmlns:r="http://schemas.openxmlformats.org/officeDocument/2006/relationships">
  <dimension ref="A1:II85"/>
  <sheetViews>
    <sheetView workbookViewId="0">
      <selection activeCell="J6" sqref="J6"/>
    </sheetView>
  </sheetViews>
  <sheetFormatPr defaultRowHeight="15.75"/>
  <cols>
    <col min="1" max="1" width="6.7109375" style="520" customWidth="1"/>
    <col min="2" max="2" width="5.85546875" style="520" customWidth="1"/>
    <col min="3" max="3" width="15.5703125" style="520" customWidth="1"/>
    <col min="4" max="4" width="7" style="520" customWidth="1"/>
    <col min="5" max="5" width="9.28515625" style="520" customWidth="1"/>
    <col min="6" max="6" width="35.42578125" style="520" customWidth="1"/>
    <col min="7" max="7" width="6.85546875" style="520" customWidth="1"/>
    <col min="8" max="8" width="7.28515625" style="520" customWidth="1"/>
    <col min="9" max="9" width="6.42578125" style="520" customWidth="1"/>
    <col min="10" max="10" width="7.140625" style="520" customWidth="1"/>
    <col min="11" max="16384" width="9.140625" style="520"/>
  </cols>
  <sheetData>
    <row r="1" spans="1:10">
      <c r="A1" s="1371" t="s">
        <v>446</v>
      </c>
      <c r="B1" s="1371"/>
      <c r="C1" s="1371"/>
      <c r="D1" s="1371"/>
      <c r="E1" s="1371"/>
      <c r="F1" s="1371"/>
      <c r="G1" s="1371"/>
      <c r="H1" s="1371"/>
      <c r="I1" s="1371"/>
      <c r="J1" s="1371"/>
    </row>
    <row r="2" spans="1:10" ht="53.25" customHeight="1">
      <c r="A2" s="1131" t="s">
        <v>551</v>
      </c>
      <c r="B2" s="1131"/>
      <c r="C2" s="1131"/>
      <c r="D2" s="1131"/>
      <c r="E2" s="1131"/>
      <c r="F2" s="1131"/>
      <c r="G2" s="1131"/>
      <c r="H2" s="1131"/>
      <c r="I2" s="1131"/>
      <c r="J2" s="1131"/>
    </row>
    <row r="3" spans="1:10">
      <c r="A3" s="1371" t="s">
        <v>449</v>
      </c>
      <c r="B3" s="1371"/>
      <c r="C3" s="1371"/>
      <c r="D3" s="1371"/>
      <c r="E3" s="1371"/>
      <c r="F3" s="1371"/>
      <c r="G3" s="1371"/>
      <c r="H3" s="1371"/>
      <c r="I3" s="1371"/>
      <c r="J3" s="1371"/>
    </row>
    <row r="4" spans="1:10">
      <c r="A4" s="391"/>
      <c r="B4" s="391"/>
    </row>
    <row r="5" spans="1:10" ht="96" customHeight="1">
      <c r="A5" s="420" t="s">
        <v>450</v>
      </c>
      <c r="B5" s="1360" t="s">
        <v>647</v>
      </c>
      <c r="C5" s="1360"/>
      <c r="D5" s="1360" t="s">
        <v>1246</v>
      </c>
      <c r="E5" s="1360"/>
      <c r="F5" s="420" t="s">
        <v>452</v>
      </c>
      <c r="G5" s="1360" t="s">
        <v>1247</v>
      </c>
      <c r="H5" s="1360"/>
      <c r="I5" s="1360" t="s">
        <v>1248</v>
      </c>
      <c r="J5" s="1360"/>
    </row>
    <row r="6" spans="1:10" ht="78.75">
      <c r="A6" s="1355" t="s">
        <v>454</v>
      </c>
      <c r="B6" s="1361" t="s">
        <v>455</v>
      </c>
      <c r="C6" s="1362"/>
      <c r="D6" s="422"/>
      <c r="E6" s="423"/>
      <c r="F6" s="2" t="s">
        <v>456</v>
      </c>
      <c r="G6" s="424" t="s">
        <v>1249</v>
      </c>
      <c r="H6" s="425">
        <v>0.3</v>
      </c>
      <c r="I6" s="426" t="s">
        <v>914</v>
      </c>
      <c r="J6" s="427"/>
    </row>
    <row r="7" spans="1:10" ht="18.75">
      <c r="A7" s="1356"/>
      <c r="B7" s="1363" t="s">
        <v>648</v>
      </c>
      <c r="C7" s="1364"/>
      <c r="D7" s="429" t="s">
        <v>1251</v>
      </c>
      <c r="E7" s="430">
        <v>0.12</v>
      </c>
      <c r="F7" s="499" t="s">
        <v>457</v>
      </c>
      <c r="G7" s="431" t="s">
        <v>1252</v>
      </c>
      <c r="H7" s="432">
        <v>0.2</v>
      </c>
      <c r="I7" s="433" t="s">
        <v>915</v>
      </c>
      <c r="J7" s="434"/>
    </row>
    <row r="8" spans="1:10" ht="21.75" customHeight="1">
      <c r="A8" s="1356"/>
      <c r="B8" s="1363"/>
      <c r="C8" s="1364"/>
      <c r="D8" s="429"/>
      <c r="E8" s="430"/>
      <c r="F8" s="1365" t="s">
        <v>552</v>
      </c>
      <c r="G8" s="1367" t="s">
        <v>1253</v>
      </c>
      <c r="H8" s="1369">
        <v>0.5</v>
      </c>
      <c r="I8" s="1358" t="s">
        <v>916</v>
      </c>
      <c r="J8" s="1353"/>
    </row>
    <row r="9" spans="1:10" ht="42.75" customHeight="1">
      <c r="A9" s="1357"/>
      <c r="B9" s="440" t="s">
        <v>1254</v>
      </c>
      <c r="C9" s="441">
        <f>E7*(H6*J6+H7*J7+H8*J8)</f>
        <v>0</v>
      </c>
      <c r="D9" s="522"/>
      <c r="E9" s="443"/>
      <c r="F9" s="1366"/>
      <c r="G9" s="1368"/>
      <c r="H9" s="1370"/>
      <c r="I9" s="1359"/>
      <c r="J9" s="1354"/>
    </row>
    <row r="10" spans="1:10" ht="49.5" customHeight="1">
      <c r="A10" s="1355" t="s">
        <v>459</v>
      </c>
      <c r="B10" s="1379" t="s">
        <v>553</v>
      </c>
      <c r="C10" s="1362"/>
      <c r="D10" s="524"/>
      <c r="E10" s="525"/>
      <c r="F10" s="2" t="s">
        <v>460</v>
      </c>
      <c r="G10" s="455" t="s">
        <v>1255</v>
      </c>
      <c r="H10" s="425">
        <v>0.11</v>
      </c>
      <c r="I10" s="426" t="s">
        <v>917</v>
      </c>
      <c r="J10" s="526"/>
    </row>
    <row r="11" spans="1:10" ht="47.25">
      <c r="A11" s="1356"/>
      <c r="B11" s="1363" t="s">
        <v>649</v>
      </c>
      <c r="C11" s="1364"/>
      <c r="D11" s="527"/>
      <c r="E11" s="528"/>
      <c r="F11" s="499" t="s">
        <v>461</v>
      </c>
      <c r="G11" s="455" t="s">
        <v>1257</v>
      </c>
      <c r="H11" s="425">
        <v>0.11</v>
      </c>
      <c r="I11" s="529" t="s">
        <v>918</v>
      </c>
      <c r="J11" s="530"/>
    </row>
    <row r="12" spans="1:10" ht="31.5">
      <c r="A12" s="1356"/>
      <c r="B12" s="1363"/>
      <c r="C12" s="1364"/>
      <c r="D12" s="527"/>
      <c r="E12" s="528"/>
      <c r="F12" s="499" t="s">
        <v>462</v>
      </c>
      <c r="G12" s="455" t="s">
        <v>1258</v>
      </c>
      <c r="H12" s="425">
        <v>0.19</v>
      </c>
      <c r="I12" s="529" t="s">
        <v>919</v>
      </c>
      <c r="J12" s="530"/>
    </row>
    <row r="13" spans="1:10" ht="31.5">
      <c r="A13" s="1356"/>
      <c r="B13" s="1363"/>
      <c r="C13" s="1364"/>
      <c r="D13" s="457" t="s">
        <v>1260</v>
      </c>
      <c r="E13" s="458">
        <v>0.13</v>
      </c>
      <c r="F13" s="499" t="s">
        <v>463</v>
      </c>
      <c r="G13" s="455" t="s">
        <v>1259</v>
      </c>
      <c r="H13" s="425">
        <v>0.14000000000000001</v>
      </c>
      <c r="I13" s="529" t="s">
        <v>920</v>
      </c>
      <c r="J13" s="530"/>
    </row>
    <row r="14" spans="1:10" ht="47.25">
      <c r="A14" s="1356"/>
      <c r="B14" s="452"/>
      <c r="C14" s="428"/>
      <c r="D14" s="457"/>
      <c r="E14" s="458"/>
      <c r="F14" s="499" t="s">
        <v>554</v>
      </c>
      <c r="G14" s="455" t="s">
        <v>1261</v>
      </c>
      <c r="H14" s="425">
        <v>0.13</v>
      </c>
      <c r="I14" s="529" t="s">
        <v>921</v>
      </c>
      <c r="J14" s="530"/>
    </row>
    <row r="15" spans="1:10" ht="47.25">
      <c r="A15" s="1356"/>
      <c r="B15" s="1380"/>
      <c r="C15" s="1381"/>
      <c r="D15" s="527"/>
      <c r="E15" s="528"/>
      <c r="F15" s="499" t="s">
        <v>555</v>
      </c>
      <c r="G15" s="455" t="s">
        <v>1262</v>
      </c>
      <c r="H15" s="425">
        <v>0.1</v>
      </c>
      <c r="I15" s="529" t="s">
        <v>922</v>
      </c>
      <c r="J15" s="530"/>
    </row>
    <row r="16" spans="1:10" ht="31.5">
      <c r="A16" s="1356"/>
      <c r="B16" s="1380"/>
      <c r="C16" s="1381"/>
      <c r="D16" s="527"/>
      <c r="E16" s="528"/>
      <c r="F16" s="499" t="s">
        <v>466</v>
      </c>
      <c r="G16" s="455" t="s">
        <v>1263</v>
      </c>
      <c r="H16" s="425">
        <v>0.08</v>
      </c>
      <c r="I16" s="529" t="s">
        <v>923</v>
      </c>
      <c r="J16" s="530"/>
    </row>
    <row r="17" spans="1:243" ht="18.75">
      <c r="A17" s="1356"/>
      <c r="B17" s="1380"/>
      <c r="C17" s="1381"/>
      <c r="D17" s="527"/>
      <c r="E17" s="528"/>
      <c r="F17" s="499" t="s">
        <v>467</v>
      </c>
      <c r="G17" s="455" t="s">
        <v>1264</v>
      </c>
      <c r="H17" s="425">
        <v>0.06</v>
      </c>
      <c r="I17" s="529" t="s">
        <v>924</v>
      </c>
      <c r="J17" s="530"/>
    </row>
    <row r="18" spans="1:243" ht="31.5">
      <c r="A18" s="1356"/>
      <c r="B18" s="1380"/>
      <c r="C18" s="1381"/>
      <c r="D18" s="527"/>
      <c r="E18" s="528"/>
      <c r="F18" s="499" t="s">
        <v>468</v>
      </c>
      <c r="G18" s="455" t="s">
        <v>1265</v>
      </c>
      <c r="H18" s="425">
        <v>0.03</v>
      </c>
      <c r="I18" s="529" t="s">
        <v>925</v>
      </c>
      <c r="J18" s="530"/>
    </row>
    <row r="19" spans="1:243" ht="31.5">
      <c r="A19" s="1357"/>
      <c r="B19" s="609" t="s">
        <v>1266</v>
      </c>
      <c r="C19" s="441">
        <f>E13*(H10*J10+H11*J11+H12*J12+H13*J13+H14*J14+H15*J15+H16*J16+H17*J17+H18*J18+H19*J19)</f>
        <v>0</v>
      </c>
      <c r="D19" s="531"/>
      <c r="E19" s="532"/>
      <c r="F19" s="499" t="s">
        <v>469</v>
      </c>
      <c r="G19" s="455" t="s">
        <v>1267</v>
      </c>
      <c r="H19" s="425">
        <v>0.05</v>
      </c>
      <c r="I19" s="529" t="s">
        <v>926</v>
      </c>
      <c r="J19" s="530"/>
    </row>
    <row r="20" spans="1:243" ht="192.75" customHeight="1">
      <c r="A20" s="1372" t="s">
        <v>470</v>
      </c>
      <c r="B20" s="1373" t="s">
        <v>650</v>
      </c>
      <c r="C20" s="1374"/>
      <c r="D20" s="463" t="s">
        <v>1269</v>
      </c>
      <c r="E20" s="464">
        <v>0.16</v>
      </c>
      <c r="F20" s="282" t="s">
        <v>87</v>
      </c>
      <c r="G20" s="455" t="s">
        <v>1270</v>
      </c>
      <c r="H20" s="425">
        <v>0.37</v>
      </c>
      <c r="I20" s="426" t="s">
        <v>927</v>
      </c>
      <c r="J20" s="456"/>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c r="AL20" s="509"/>
      <c r="AM20" s="509"/>
      <c r="AN20" s="509"/>
      <c r="AO20" s="509"/>
      <c r="AP20" s="509"/>
      <c r="AQ20" s="509"/>
      <c r="AR20" s="509"/>
      <c r="AS20" s="509"/>
      <c r="AT20" s="509"/>
      <c r="AU20" s="509"/>
      <c r="AV20" s="509"/>
      <c r="AW20" s="509"/>
      <c r="AX20" s="509"/>
      <c r="AY20" s="509"/>
      <c r="AZ20" s="509"/>
      <c r="BA20" s="509"/>
      <c r="BB20" s="509"/>
      <c r="BC20" s="509"/>
      <c r="BD20" s="509"/>
      <c r="BE20" s="509"/>
      <c r="BF20" s="509"/>
      <c r="BG20" s="509"/>
      <c r="BH20" s="509"/>
      <c r="BI20" s="509"/>
      <c r="BJ20" s="509"/>
      <c r="BK20" s="509"/>
      <c r="BL20" s="509"/>
      <c r="BM20" s="509"/>
      <c r="BN20" s="509"/>
      <c r="BO20" s="509"/>
      <c r="BP20" s="509"/>
      <c r="BQ20" s="509"/>
      <c r="BR20" s="509"/>
      <c r="BS20" s="509"/>
      <c r="BT20" s="509"/>
      <c r="BU20" s="509"/>
      <c r="BV20" s="509"/>
      <c r="BW20" s="509"/>
      <c r="BX20" s="509"/>
      <c r="BY20" s="509"/>
      <c r="BZ20" s="509"/>
      <c r="CA20" s="509"/>
      <c r="CB20" s="509"/>
      <c r="CC20" s="509"/>
      <c r="CD20" s="509"/>
      <c r="CE20" s="509"/>
      <c r="CF20" s="509"/>
      <c r="CG20" s="509"/>
      <c r="CH20" s="509"/>
      <c r="CI20" s="509"/>
      <c r="CJ20" s="509"/>
      <c r="CK20" s="509"/>
      <c r="CL20" s="509"/>
      <c r="CM20" s="509"/>
      <c r="CN20" s="509"/>
      <c r="CO20" s="509"/>
      <c r="CP20" s="509"/>
      <c r="CQ20" s="509"/>
      <c r="CR20" s="509"/>
      <c r="CS20" s="509"/>
      <c r="CT20" s="509"/>
      <c r="CU20" s="509"/>
      <c r="CV20" s="509"/>
      <c r="CW20" s="509"/>
      <c r="CX20" s="509"/>
      <c r="CY20" s="509"/>
      <c r="CZ20" s="509"/>
      <c r="DA20" s="509"/>
      <c r="DB20" s="509"/>
      <c r="DC20" s="509"/>
      <c r="DD20" s="509"/>
      <c r="DE20" s="509"/>
      <c r="DF20" s="509"/>
      <c r="DG20" s="509"/>
      <c r="DH20" s="509"/>
      <c r="DI20" s="509"/>
      <c r="DJ20" s="509"/>
      <c r="DK20" s="509"/>
      <c r="DL20" s="509"/>
      <c r="DM20" s="509"/>
      <c r="DN20" s="509"/>
      <c r="DO20" s="509"/>
      <c r="DP20" s="509"/>
      <c r="DQ20" s="509"/>
      <c r="DR20" s="509"/>
      <c r="DS20" s="509"/>
      <c r="DT20" s="509"/>
      <c r="DU20" s="509"/>
      <c r="DV20" s="509"/>
      <c r="DW20" s="509"/>
      <c r="DX20" s="509"/>
      <c r="DY20" s="509"/>
      <c r="DZ20" s="509"/>
      <c r="EA20" s="509"/>
      <c r="EB20" s="509"/>
      <c r="EC20" s="509"/>
      <c r="ED20" s="509"/>
      <c r="EE20" s="509"/>
      <c r="EF20" s="509"/>
      <c r="EG20" s="509"/>
      <c r="EH20" s="509"/>
      <c r="EI20" s="509"/>
      <c r="EJ20" s="509"/>
      <c r="EK20" s="509"/>
      <c r="EL20" s="509"/>
      <c r="EM20" s="509"/>
      <c r="EN20" s="509"/>
      <c r="EO20" s="509"/>
      <c r="EP20" s="509"/>
      <c r="EQ20" s="509"/>
      <c r="ER20" s="509"/>
      <c r="ES20" s="509"/>
      <c r="ET20" s="509"/>
      <c r="EU20" s="509"/>
      <c r="EV20" s="509"/>
      <c r="EW20" s="509"/>
      <c r="EX20" s="509"/>
      <c r="EY20" s="509"/>
      <c r="EZ20" s="509"/>
      <c r="FA20" s="509"/>
      <c r="FB20" s="509"/>
      <c r="FC20" s="509"/>
      <c r="FD20" s="509"/>
      <c r="FE20" s="509"/>
      <c r="FF20" s="509"/>
      <c r="FG20" s="509"/>
      <c r="FH20" s="509"/>
      <c r="FI20" s="509"/>
      <c r="FJ20" s="509"/>
      <c r="FK20" s="509"/>
      <c r="FL20" s="509"/>
      <c r="FM20" s="509"/>
      <c r="FN20" s="509"/>
      <c r="FO20" s="509"/>
      <c r="FP20" s="509"/>
      <c r="FQ20" s="509"/>
      <c r="FR20" s="509"/>
      <c r="FS20" s="509"/>
      <c r="FT20" s="509"/>
      <c r="FU20" s="509"/>
      <c r="FV20" s="509"/>
      <c r="FW20" s="509"/>
      <c r="FX20" s="509"/>
      <c r="FY20" s="509"/>
      <c r="FZ20" s="509"/>
      <c r="GA20" s="509"/>
      <c r="GB20" s="509"/>
      <c r="GC20" s="509"/>
      <c r="GD20" s="509"/>
      <c r="GE20" s="509"/>
      <c r="GF20" s="509"/>
      <c r="GG20" s="509"/>
      <c r="GH20" s="509"/>
      <c r="GI20" s="509"/>
      <c r="GJ20" s="509"/>
      <c r="GK20" s="509"/>
      <c r="GL20" s="509"/>
      <c r="GM20" s="509"/>
      <c r="GN20" s="509"/>
      <c r="GO20" s="509"/>
      <c r="GP20" s="509"/>
      <c r="GQ20" s="509"/>
      <c r="GR20" s="509"/>
      <c r="GS20" s="509"/>
      <c r="GT20" s="509"/>
      <c r="GU20" s="509"/>
      <c r="GV20" s="509"/>
      <c r="GW20" s="509"/>
      <c r="GX20" s="509"/>
      <c r="GY20" s="509"/>
      <c r="GZ20" s="509"/>
      <c r="HA20" s="509"/>
      <c r="HB20" s="509"/>
      <c r="HC20" s="509"/>
      <c r="HD20" s="509"/>
      <c r="HE20" s="509"/>
      <c r="HF20" s="509"/>
      <c r="HG20" s="509"/>
      <c r="HH20" s="509"/>
      <c r="HI20" s="509"/>
      <c r="HJ20" s="509"/>
      <c r="HK20" s="509"/>
      <c r="HL20" s="509"/>
      <c r="HM20" s="509"/>
      <c r="HN20" s="509"/>
      <c r="HO20" s="509"/>
      <c r="HP20" s="509"/>
      <c r="HQ20" s="509"/>
      <c r="HR20" s="509"/>
      <c r="HS20" s="509"/>
      <c r="HT20" s="509"/>
      <c r="HU20" s="509"/>
      <c r="HV20" s="509"/>
      <c r="HW20" s="509"/>
      <c r="HX20" s="509"/>
      <c r="HY20" s="509"/>
      <c r="HZ20" s="509"/>
      <c r="IA20" s="509"/>
      <c r="IB20" s="509"/>
      <c r="IC20" s="509"/>
      <c r="ID20" s="509"/>
      <c r="IE20" s="509"/>
      <c r="IF20" s="509"/>
      <c r="IG20" s="509"/>
      <c r="IH20" s="509"/>
      <c r="II20" s="509"/>
    </row>
    <row r="21" spans="1:243" ht="47.25">
      <c r="A21" s="1372"/>
      <c r="B21" s="489"/>
      <c r="C21" s="500"/>
      <c r="D21" s="534"/>
      <c r="E21" s="535"/>
      <c r="F21" s="2" t="s">
        <v>556</v>
      </c>
      <c r="G21" s="455" t="s">
        <v>1272</v>
      </c>
      <c r="H21" s="425">
        <v>0.18</v>
      </c>
      <c r="I21" s="426" t="s">
        <v>928</v>
      </c>
      <c r="J21" s="456"/>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row>
    <row r="22" spans="1:243" ht="47.25">
      <c r="A22" s="1372"/>
      <c r="B22" s="489"/>
      <c r="C22" s="500"/>
      <c r="D22" s="453"/>
      <c r="E22" s="454"/>
      <c r="F22" s="2" t="s">
        <v>84</v>
      </c>
      <c r="G22" s="455" t="s">
        <v>1273</v>
      </c>
      <c r="H22" s="425">
        <v>0.27</v>
      </c>
      <c r="I22" s="426" t="s">
        <v>929</v>
      </c>
      <c r="J22" s="456"/>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row>
    <row r="23" spans="1:243" ht="31.5">
      <c r="A23" s="1372"/>
      <c r="B23" s="440" t="s">
        <v>1274</v>
      </c>
      <c r="C23" s="441">
        <f>E20*(H20*J20+H21*J21+H22*J22+H23*J23)</f>
        <v>0</v>
      </c>
      <c r="D23" s="461"/>
      <c r="E23" s="462"/>
      <c r="F23" s="499" t="s">
        <v>85</v>
      </c>
      <c r="G23" s="455" t="s">
        <v>1275</v>
      </c>
      <c r="H23" s="425">
        <v>0.18</v>
      </c>
      <c r="I23" s="426" t="s">
        <v>930</v>
      </c>
      <c r="J23" s="456"/>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row>
    <row r="24" spans="1:243" ht="47.25">
      <c r="A24" s="1355" t="s">
        <v>261</v>
      </c>
      <c r="B24" s="1361" t="s">
        <v>492</v>
      </c>
      <c r="C24" s="1362"/>
      <c r="D24" s="447"/>
      <c r="E24" s="448"/>
      <c r="F24" s="499" t="s">
        <v>493</v>
      </c>
      <c r="G24" s="498" t="s">
        <v>1283</v>
      </c>
      <c r="H24" s="425">
        <v>0.21</v>
      </c>
      <c r="I24" s="426" t="s">
        <v>936</v>
      </c>
      <c r="J24" s="427"/>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row>
    <row r="25" spans="1:243" ht="47.25">
      <c r="A25" s="1356"/>
      <c r="B25" s="1375"/>
      <c r="C25" s="1376"/>
      <c r="D25" s="453"/>
      <c r="E25" s="454"/>
      <c r="F25" s="499" t="s">
        <v>494</v>
      </c>
      <c r="G25" s="498" t="s">
        <v>1286</v>
      </c>
      <c r="H25" s="425">
        <v>0.21</v>
      </c>
      <c r="I25" s="426" t="s">
        <v>937</v>
      </c>
      <c r="J25" s="427"/>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row>
    <row r="26" spans="1:243" ht="47.25">
      <c r="A26" s="1356"/>
      <c r="B26" s="1377" t="s">
        <v>651</v>
      </c>
      <c r="C26" s="1378"/>
      <c r="D26" s="487" t="s">
        <v>1279</v>
      </c>
      <c r="E26" s="437">
        <v>0.21</v>
      </c>
      <c r="F26" s="2" t="s">
        <v>495</v>
      </c>
      <c r="G26" s="498" t="s">
        <v>1288</v>
      </c>
      <c r="H26" s="425">
        <v>0.21</v>
      </c>
      <c r="I26" s="426" t="s">
        <v>938</v>
      </c>
      <c r="J26" s="427"/>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row>
    <row r="27" spans="1:243" ht="63">
      <c r="A27" s="1356"/>
      <c r="B27" s="1377"/>
      <c r="C27" s="1378"/>
      <c r="D27" s="457"/>
      <c r="E27" s="458"/>
      <c r="F27" s="499" t="s">
        <v>496</v>
      </c>
      <c r="G27" s="498" t="s">
        <v>1290</v>
      </c>
      <c r="H27" s="425">
        <v>0.1</v>
      </c>
      <c r="I27" s="426" t="s">
        <v>939</v>
      </c>
      <c r="J27" s="427"/>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row>
    <row r="28" spans="1:243" ht="47.25">
      <c r="A28" s="1356"/>
      <c r="B28" s="465"/>
      <c r="C28" s="466"/>
      <c r="D28" s="457"/>
      <c r="E28" s="458"/>
      <c r="F28" s="2" t="s">
        <v>497</v>
      </c>
      <c r="G28" s="498" t="s">
        <v>1291</v>
      </c>
      <c r="H28" s="425">
        <v>0.1</v>
      </c>
      <c r="I28" s="426" t="s">
        <v>940</v>
      </c>
      <c r="J28" s="427"/>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row>
    <row r="29" spans="1:243" ht="47.25">
      <c r="A29" s="1357"/>
      <c r="B29" s="558" t="s">
        <v>1282</v>
      </c>
      <c r="C29" s="539">
        <f>E26*(H24*J24+H25*J25+H26*J26+H27*J27+H28*J28+H29*J29)</f>
        <v>0</v>
      </c>
      <c r="D29" s="461"/>
      <c r="E29" s="462"/>
      <c r="F29" s="2" t="s">
        <v>498</v>
      </c>
      <c r="G29" s="498" t="s">
        <v>1294</v>
      </c>
      <c r="H29" s="425">
        <v>0.17</v>
      </c>
      <c r="I29" s="426" t="s">
        <v>941</v>
      </c>
      <c r="J29" s="427"/>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row>
    <row r="30" spans="1:243">
      <c r="A30" s="1382" t="s">
        <v>476</v>
      </c>
      <c r="B30" s="1361" t="s">
        <v>505</v>
      </c>
      <c r="C30" s="1362"/>
      <c r="D30" s="502"/>
      <c r="E30" s="502"/>
      <c r="F30" s="1365" t="s">
        <v>502</v>
      </c>
      <c r="G30" s="1391" t="s">
        <v>1295</v>
      </c>
      <c r="H30" s="1393">
        <v>0.7</v>
      </c>
      <c r="I30" s="1358" t="s">
        <v>942</v>
      </c>
      <c r="J30" s="1395"/>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row>
    <row r="31" spans="1:243" ht="67.5" customHeight="1">
      <c r="A31" s="1383"/>
      <c r="B31" s="1375"/>
      <c r="C31" s="1376"/>
      <c r="D31" s="1387" t="s">
        <v>1285</v>
      </c>
      <c r="E31" s="1389">
        <v>0.06</v>
      </c>
      <c r="F31" s="1366"/>
      <c r="G31" s="1392"/>
      <c r="H31" s="1394"/>
      <c r="I31" s="1359"/>
      <c r="J31" s="1396"/>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row>
    <row r="32" spans="1:243">
      <c r="A32" s="1383"/>
      <c r="B32" s="1385" t="s">
        <v>652</v>
      </c>
      <c r="C32" s="1386"/>
      <c r="D32" s="1388"/>
      <c r="E32" s="1389"/>
      <c r="F32" s="1365" t="s">
        <v>508</v>
      </c>
      <c r="G32" s="1391" t="s">
        <v>1297</v>
      </c>
      <c r="H32" s="1393">
        <v>0.3</v>
      </c>
      <c r="I32" s="1358" t="s">
        <v>943</v>
      </c>
      <c r="J32" s="1353"/>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row>
    <row r="33" spans="1:243" ht="27.75" customHeight="1">
      <c r="A33" s="1383"/>
      <c r="B33" s="1385"/>
      <c r="C33" s="1386"/>
      <c r="D33" s="1388"/>
      <c r="E33" s="1389"/>
      <c r="F33" s="1390"/>
      <c r="G33" s="1388"/>
      <c r="H33" s="1389"/>
      <c r="I33" s="1397"/>
      <c r="J33" s="1398"/>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row>
    <row r="34" spans="1:243" ht="17.25">
      <c r="A34" s="1384"/>
      <c r="B34" s="440" t="s">
        <v>1287</v>
      </c>
      <c r="C34" s="583">
        <f>E31*(H30*J30+H33*J33)</f>
        <v>0</v>
      </c>
      <c r="D34" s="461"/>
      <c r="E34" s="496"/>
      <c r="F34" s="1366"/>
      <c r="G34" s="1392"/>
      <c r="H34" s="1394"/>
      <c r="I34" s="1359"/>
      <c r="J34" s="1354"/>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row>
    <row r="35" spans="1:243" ht="47.25">
      <c r="A35" s="1372" t="s">
        <v>29</v>
      </c>
      <c r="B35" s="1361" t="s">
        <v>510</v>
      </c>
      <c r="C35" s="1362"/>
      <c r="D35" s="447"/>
      <c r="E35" s="448"/>
      <c r="F35" s="2" t="s">
        <v>7</v>
      </c>
      <c r="G35" s="506" t="s">
        <v>1299</v>
      </c>
      <c r="H35" s="507">
        <v>7.0000000000000007E-2</v>
      </c>
      <c r="I35" s="481" t="s">
        <v>944</v>
      </c>
      <c r="J35" s="482"/>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row>
    <row r="36" spans="1:243" ht="97.5" customHeight="1">
      <c r="A36" s="1372"/>
      <c r="B36" s="1377" t="s">
        <v>653</v>
      </c>
      <c r="C36" s="1378"/>
      <c r="D36" s="467" t="s">
        <v>1289</v>
      </c>
      <c r="E36" s="430">
        <v>0.14000000000000001</v>
      </c>
      <c r="F36" s="2" t="s">
        <v>557</v>
      </c>
      <c r="G36" s="506" t="s">
        <v>1300</v>
      </c>
      <c r="H36" s="507">
        <v>0.3</v>
      </c>
      <c r="I36" s="481" t="s">
        <v>945</v>
      </c>
      <c r="J36" s="482"/>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row>
    <row r="37" spans="1:243" ht="94.5">
      <c r="A37" s="1372"/>
      <c r="B37" s="465"/>
      <c r="C37" s="536"/>
      <c r="D37" s="570"/>
      <c r="E37" s="571"/>
      <c r="F37" s="499" t="s">
        <v>0</v>
      </c>
      <c r="G37" s="506" t="s">
        <v>1302</v>
      </c>
      <c r="H37" s="507">
        <v>0.14000000000000001</v>
      </c>
      <c r="I37" s="481" t="s">
        <v>946</v>
      </c>
      <c r="J37" s="482"/>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row>
    <row r="38" spans="1:243" ht="94.5">
      <c r="A38" s="1372"/>
      <c r="B38" s="465"/>
      <c r="C38" s="466"/>
      <c r="D38" s="463"/>
      <c r="E38" s="464"/>
      <c r="F38" s="2" t="s">
        <v>1</v>
      </c>
      <c r="G38" s="506" t="s">
        <v>1303</v>
      </c>
      <c r="H38" s="507">
        <v>0.21</v>
      </c>
      <c r="I38" s="481" t="s">
        <v>947</v>
      </c>
      <c r="J38" s="482"/>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row>
    <row r="39" spans="1:243" ht="66" customHeight="1">
      <c r="A39" s="1372"/>
      <c r="B39" s="440" t="s">
        <v>1293</v>
      </c>
      <c r="C39" s="441">
        <f>E36*(H35*J35+H36*J36+H37*J37+H38*J38+H39*J39)</f>
        <v>0</v>
      </c>
      <c r="D39" s="567"/>
      <c r="E39" s="437"/>
      <c r="F39" s="2" t="s">
        <v>2</v>
      </c>
      <c r="G39" s="506" t="s">
        <v>1306</v>
      </c>
      <c r="H39" s="507">
        <v>0.28000000000000003</v>
      </c>
      <c r="I39" s="481" t="s">
        <v>948</v>
      </c>
      <c r="J39" s="482"/>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row>
    <row r="40" spans="1:243" ht="31.5">
      <c r="A40" s="1355" t="s">
        <v>487</v>
      </c>
      <c r="B40" s="1379" t="s">
        <v>1352</v>
      </c>
      <c r="C40" s="1362"/>
      <c r="D40" s="573"/>
      <c r="E40" s="574"/>
      <c r="F40" s="2" t="s">
        <v>10</v>
      </c>
      <c r="G40" s="512" t="s">
        <v>1307</v>
      </c>
      <c r="H40" s="425">
        <v>7.0000000000000007E-2</v>
      </c>
      <c r="I40" s="426" t="s">
        <v>949</v>
      </c>
      <c r="J40" s="427"/>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row>
    <row r="41" spans="1:243" ht="49.5" customHeight="1">
      <c r="A41" s="1356"/>
      <c r="B41" s="1399"/>
      <c r="C41" s="1400"/>
      <c r="D41" s="577"/>
      <c r="E41" s="578"/>
      <c r="F41" s="2" t="s">
        <v>558</v>
      </c>
      <c r="G41" s="512" t="s">
        <v>1309</v>
      </c>
      <c r="H41" s="425">
        <v>0.21</v>
      </c>
      <c r="I41" s="426" t="s">
        <v>950</v>
      </c>
      <c r="J41" s="427"/>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c r="HF41" s="59"/>
      <c r="HG41" s="59"/>
      <c r="HH41" s="59"/>
      <c r="HI41" s="59"/>
      <c r="HJ41" s="59"/>
      <c r="HK41" s="59"/>
      <c r="HL41" s="59"/>
      <c r="HM41" s="59"/>
      <c r="HN41" s="59"/>
      <c r="HO41" s="59"/>
      <c r="HP41" s="59"/>
      <c r="HQ41" s="59"/>
      <c r="HR41" s="59"/>
      <c r="HS41" s="59"/>
      <c r="HT41" s="59"/>
      <c r="HU41" s="59"/>
      <c r="HV41" s="59"/>
      <c r="HW41" s="59"/>
      <c r="HX41" s="59"/>
      <c r="HY41" s="59"/>
      <c r="HZ41" s="59"/>
      <c r="IA41" s="59"/>
      <c r="IB41" s="59"/>
      <c r="IC41" s="59"/>
      <c r="ID41" s="59"/>
      <c r="IE41" s="59"/>
      <c r="IF41" s="59"/>
      <c r="IG41" s="59"/>
      <c r="IH41" s="59"/>
      <c r="II41" s="59"/>
    </row>
    <row r="42" spans="1:243" ht="65.25" customHeight="1">
      <c r="A42" s="1356"/>
      <c r="B42" s="1385" t="s">
        <v>654</v>
      </c>
      <c r="C42" s="1386"/>
      <c r="D42" s="577"/>
      <c r="E42" s="578"/>
      <c r="F42" s="2" t="s">
        <v>12</v>
      </c>
      <c r="G42" s="512" t="s">
        <v>1310</v>
      </c>
      <c r="H42" s="425">
        <v>0.3</v>
      </c>
      <c r="I42" s="426" t="s">
        <v>951</v>
      </c>
      <c r="J42" s="427"/>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c r="IG42" s="59"/>
      <c r="IH42" s="59"/>
      <c r="II42" s="59"/>
    </row>
    <row r="43" spans="1:243" ht="31.5">
      <c r="A43" s="1356"/>
      <c r="B43" s="1385"/>
      <c r="C43" s="1386"/>
      <c r="D43" s="577"/>
      <c r="E43" s="578"/>
      <c r="F43" s="499" t="s">
        <v>13</v>
      </c>
      <c r="G43" s="512" t="s">
        <v>1312</v>
      </c>
      <c r="H43" s="425">
        <v>0.14000000000000001</v>
      </c>
      <c r="I43" s="426" t="s">
        <v>952</v>
      </c>
      <c r="J43" s="427"/>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c r="HF43" s="59"/>
      <c r="HG43" s="59"/>
      <c r="HH43" s="59"/>
      <c r="HI43" s="59"/>
      <c r="HJ43" s="59"/>
      <c r="HK43" s="59"/>
      <c r="HL43" s="59"/>
      <c r="HM43" s="59"/>
      <c r="HN43" s="59"/>
      <c r="HO43" s="59"/>
      <c r="HP43" s="59"/>
      <c r="HQ43" s="59"/>
      <c r="HR43" s="59"/>
      <c r="HS43" s="59"/>
      <c r="HT43" s="59"/>
      <c r="HU43" s="59"/>
      <c r="HV43" s="59"/>
      <c r="HW43" s="59"/>
      <c r="HX43" s="59"/>
      <c r="HY43" s="59"/>
      <c r="HZ43" s="59"/>
      <c r="IA43" s="59"/>
      <c r="IB43" s="59"/>
      <c r="IC43" s="59"/>
      <c r="ID43" s="59"/>
      <c r="IE43" s="59"/>
      <c r="IF43" s="59"/>
      <c r="IG43" s="59"/>
      <c r="IH43" s="59"/>
      <c r="II43" s="59"/>
    </row>
    <row r="44" spans="1:243" ht="157.5">
      <c r="A44" s="1357"/>
      <c r="B44" s="582" t="s">
        <v>1301</v>
      </c>
      <c r="C44" s="583">
        <f>E44*(H40*J40+H41*J41+H42*J42+H43*J43+H44*J44)</f>
        <v>0</v>
      </c>
      <c r="D44" s="557" t="s">
        <v>1298</v>
      </c>
      <c r="E44" s="541">
        <v>0.18</v>
      </c>
      <c r="F44" s="2" t="s">
        <v>559</v>
      </c>
      <c r="G44" s="512" t="s">
        <v>1314</v>
      </c>
      <c r="H44" s="425">
        <v>0.28000000000000003</v>
      </c>
      <c r="I44" s="426" t="s">
        <v>953</v>
      </c>
      <c r="J44" s="427"/>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c r="HF44" s="59"/>
      <c r="HG44" s="59"/>
      <c r="HH44" s="59"/>
      <c r="HI44" s="59"/>
      <c r="HJ44" s="59"/>
      <c r="HK44" s="59"/>
      <c r="HL44" s="59"/>
      <c r="HM44" s="59"/>
      <c r="HN44" s="59"/>
      <c r="HO44" s="59"/>
      <c r="HP44" s="59"/>
      <c r="HQ44" s="59"/>
      <c r="HR44" s="59"/>
      <c r="HS44" s="59"/>
      <c r="HT44" s="59"/>
      <c r="HU44" s="59"/>
      <c r="HV44" s="59"/>
      <c r="HW44" s="59"/>
      <c r="HX44" s="59"/>
      <c r="HY44" s="59"/>
      <c r="HZ44" s="59"/>
      <c r="IA44" s="59"/>
      <c r="IB44" s="59"/>
      <c r="IC44" s="59"/>
      <c r="ID44" s="59"/>
      <c r="IE44" s="59"/>
      <c r="IF44" s="59"/>
      <c r="IG44" s="59"/>
      <c r="IH44" s="59"/>
      <c r="II44" s="59"/>
    </row>
    <row r="45" spans="1:243">
      <c r="A45" s="584"/>
      <c r="B45" s="585"/>
      <c r="C45" s="586"/>
    </row>
    <row r="46" spans="1:243">
      <c r="A46" s="513"/>
      <c r="B46" s="514" t="s">
        <v>769</v>
      </c>
      <c r="C46" s="515">
        <f>SUM(C9,C19,C23,C29,C34,C39,C44)</f>
        <v>0</v>
      </c>
      <c r="D46" s="589"/>
      <c r="E46" s="589"/>
      <c r="F46" s="589"/>
      <c r="G46" s="589"/>
      <c r="H46" s="589"/>
      <c r="I46" s="589"/>
      <c r="J46" s="589"/>
    </row>
    <row r="47" spans="1:243" s="59" customFormat="1" ht="19.5" customHeight="1">
      <c r="A47" s="610"/>
      <c r="B47" s="611"/>
      <c r="C47" s="612" t="s">
        <v>444</v>
      </c>
      <c r="D47" s="611"/>
      <c r="E47" s="613"/>
      <c r="F47" s="614" t="str">
        <f>IF(C46&lt;=0.5,"низький",IF(C46&lt;=0.75,"середній",(IF(C46&lt;=0.95,"достатній",(IF(C46&lt;=1,"високий"))))))</f>
        <v>низький</v>
      </c>
      <c r="G47" s="611"/>
      <c r="H47" s="611"/>
      <c r="I47" s="611"/>
      <c r="J47" s="611"/>
    </row>
    <row r="48" spans="1:243" s="302" customFormat="1">
      <c r="A48" s="288" t="s">
        <v>182</v>
      </c>
      <c r="B48" s="289"/>
      <c r="C48" s="342"/>
      <c r="E48" s="343"/>
      <c r="F48" s="344"/>
      <c r="G48" s="112"/>
    </row>
    <row r="49" spans="1:7" s="302" customFormat="1" ht="17.25">
      <c r="A49" s="345" t="s">
        <v>589</v>
      </c>
      <c r="B49" s="346"/>
      <c r="C49" s="347"/>
      <c r="D49" s="303"/>
      <c r="E49" s="348"/>
      <c r="F49" s="349"/>
      <c r="G49" s="112"/>
    </row>
    <row r="50" spans="1:7" s="302" customFormat="1" ht="17.25">
      <c r="A50" s="345" t="s">
        <v>590</v>
      </c>
      <c r="B50" s="346"/>
      <c r="C50" s="347"/>
      <c r="D50" s="303"/>
      <c r="E50" s="348"/>
      <c r="F50" s="349"/>
      <c r="G50" s="112"/>
    </row>
    <row r="51" spans="1:7" s="302" customFormat="1" ht="17.25">
      <c r="A51" s="345" t="s">
        <v>591</v>
      </c>
      <c r="B51" s="346"/>
      <c r="C51" s="347"/>
      <c r="D51" s="303"/>
      <c r="E51" s="348"/>
      <c r="F51" s="349"/>
      <c r="G51" s="112"/>
    </row>
    <row r="52" spans="1:7" s="302" customFormat="1" ht="17.25">
      <c r="A52" s="345" t="s">
        <v>592</v>
      </c>
      <c r="B52" s="346"/>
      <c r="C52" s="347"/>
      <c r="D52" s="303"/>
      <c r="E52" s="348"/>
      <c r="F52" s="349"/>
      <c r="G52" s="112"/>
    </row>
    <row r="53" spans="1:7" s="302" customFormat="1" ht="17.25">
      <c r="A53" s="345" t="s">
        <v>593</v>
      </c>
      <c r="B53" s="346"/>
      <c r="C53" s="347"/>
      <c r="D53" s="303"/>
      <c r="E53" s="348"/>
      <c r="F53" s="349"/>
      <c r="G53" s="112"/>
    </row>
    <row r="54" spans="1:7" s="302" customFormat="1" ht="17.25">
      <c r="A54" s="345" t="s">
        <v>594</v>
      </c>
      <c r="B54" s="346"/>
      <c r="C54" s="347"/>
      <c r="D54" s="303"/>
      <c r="E54" s="348"/>
      <c r="F54" s="349"/>
      <c r="G54" s="112"/>
    </row>
    <row r="55" spans="1:7" s="302" customFormat="1" ht="17.25">
      <c r="A55" s="345" t="s">
        <v>595</v>
      </c>
      <c r="B55" s="346"/>
      <c r="C55" s="347"/>
      <c r="D55" s="303"/>
      <c r="E55" s="348"/>
      <c r="F55" s="349"/>
      <c r="G55" s="112"/>
    </row>
    <row r="56" spans="1:7" s="302" customFormat="1">
      <c r="A56" s="350" t="s">
        <v>596</v>
      </c>
      <c r="B56" s="346"/>
      <c r="C56" s="347"/>
      <c r="D56" s="303"/>
      <c r="E56" s="348"/>
      <c r="F56" s="349"/>
      <c r="G56" s="112"/>
    </row>
    <row r="57" spans="1:7" s="302" customFormat="1">
      <c r="A57" s="345" t="s">
        <v>597</v>
      </c>
      <c r="B57" s="346"/>
      <c r="C57" s="347"/>
      <c r="D57" s="303"/>
      <c r="E57" s="348"/>
      <c r="F57" s="349"/>
      <c r="G57" s="112"/>
    </row>
    <row r="58" spans="1:7" s="302" customFormat="1">
      <c r="A58" s="288" t="s">
        <v>792</v>
      </c>
      <c r="B58" s="346"/>
      <c r="C58" s="347"/>
      <c r="D58" s="303"/>
      <c r="E58" s="348"/>
      <c r="F58" s="349"/>
      <c r="G58" s="112"/>
    </row>
    <row r="59" spans="1:7" s="302" customFormat="1">
      <c r="A59" s="288" t="s">
        <v>793</v>
      </c>
      <c r="B59" s="346"/>
      <c r="C59" s="347"/>
      <c r="D59" s="303"/>
      <c r="E59" s="348"/>
      <c r="F59" s="349"/>
      <c r="G59" s="112"/>
    </row>
    <row r="60" spans="1:7" s="302" customFormat="1">
      <c r="A60" s="288" t="s">
        <v>794</v>
      </c>
      <c r="B60" s="346"/>
      <c r="C60" s="347"/>
      <c r="D60" s="303"/>
      <c r="E60" s="348"/>
      <c r="F60" s="349"/>
      <c r="G60" s="112"/>
    </row>
    <row r="61" spans="1:7" s="302" customFormat="1">
      <c r="A61" s="342"/>
      <c r="B61" s="342" t="s">
        <v>20</v>
      </c>
      <c r="C61" s="342"/>
      <c r="D61" s="342"/>
      <c r="E61" s="342"/>
      <c r="F61" s="342"/>
      <c r="G61" s="342"/>
    </row>
    <row r="62" spans="1:7" s="302" customFormat="1">
      <c r="A62" s="351"/>
      <c r="B62" s="351"/>
      <c r="C62" s="351"/>
      <c r="D62" s="351"/>
      <c r="E62" s="351"/>
      <c r="F62" s="351"/>
      <c r="G62" s="351"/>
    </row>
    <row r="63" spans="1:7" s="302" customFormat="1">
      <c r="A63" s="351"/>
      <c r="B63" s="351"/>
      <c r="C63" s="351"/>
      <c r="D63" s="351"/>
      <c r="E63" s="351"/>
      <c r="F63" s="351"/>
      <c r="G63" s="351"/>
    </row>
    <row r="64" spans="1:7" s="302" customFormat="1">
      <c r="A64" s="351"/>
      <c r="B64" s="351"/>
      <c r="C64" s="351"/>
      <c r="D64" s="351"/>
      <c r="E64" s="351"/>
      <c r="F64" s="351"/>
      <c r="G64" s="351"/>
    </row>
    <row r="65" spans="1:7" s="302" customFormat="1">
      <c r="A65" s="351"/>
      <c r="B65" s="351"/>
      <c r="C65" s="351"/>
      <c r="D65" s="351"/>
      <c r="E65" s="351"/>
      <c r="F65" s="351"/>
      <c r="G65" s="351"/>
    </row>
    <row r="66" spans="1:7" s="302" customFormat="1">
      <c r="A66" s="351"/>
      <c r="B66" s="351"/>
      <c r="C66" s="351"/>
      <c r="D66" s="351"/>
      <c r="E66" s="351"/>
      <c r="F66" s="351"/>
      <c r="G66" s="351"/>
    </row>
    <row r="67" spans="1:7" s="302" customFormat="1">
      <c r="A67" s="351"/>
      <c r="B67" s="351"/>
      <c r="C67" s="351"/>
      <c r="D67" s="351"/>
      <c r="E67" s="351"/>
      <c r="F67" s="351"/>
      <c r="G67" s="351"/>
    </row>
    <row r="68" spans="1:7" s="302" customFormat="1">
      <c r="A68" s="351"/>
      <c r="B68" s="351"/>
      <c r="C68" s="351"/>
      <c r="D68" s="351"/>
      <c r="E68" s="351"/>
      <c r="F68" s="351"/>
      <c r="G68" s="351"/>
    </row>
    <row r="69" spans="1:7" s="302" customFormat="1">
      <c r="A69" s="351"/>
      <c r="B69" s="351"/>
      <c r="C69" s="351"/>
      <c r="D69" s="351"/>
      <c r="E69" s="351"/>
      <c r="F69" s="351"/>
      <c r="G69" s="351"/>
    </row>
    <row r="70" spans="1:7" s="302" customFormat="1">
      <c r="A70" s="351"/>
      <c r="B70" s="351"/>
      <c r="C70" s="351"/>
      <c r="D70" s="351"/>
      <c r="E70" s="351"/>
      <c r="F70" s="351"/>
      <c r="G70" s="351"/>
    </row>
    <row r="71" spans="1:7" s="302" customFormat="1">
      <c r="A71" s="351"/>
      <c r="B71" s="351"/>
      <c r="C71" s="351"/>
      <c r="D71" s="351"/>
      <c r="E71" s="351"/>
      <c r="F71" s="351"/>
      <c r="G71" s="351"/>
    </row>
    <row r="72" spans="1:7" s="302" customFormat="1">
      <c r="A72" s="351"/>
      <c r="B72" s="351"/>
      <c r="C72" s="351"/>
      <c r="D72" s="351"/>
      <c r="E72" s="351"/>
      <c r="F72" s="351"/>
      <c r="G72" s="351"/>
    </row>
    <row r="73" spans="1:7" s="302" customFormat="1">
      <c r="A73" s="351"/>
      <c r="B73" s="351"/>
      <c r="C73" s="351"/>
      <c r="D73" s="351"/>
      <c r="E73" s="351"/>
      <c r="F73" s="351"/>
      <c r="G73" s="351"/>
    </row>
    <row r="74" spans="1:7" s="302" customFormat="1">
      <c r="A74" s="351"/>
      <c r="B74" s="351"/>
      <c r="C74" s="351"/>
      <c r="D74" s="351"/>
      <c r="E74" s="351"/>
      <c r="F74" s="351"/>
      <c r="G74" s="351"/>
    </row>
    <row r="75" spans="1:7" s="302" customFormat="1">
      <c r="A75" s="351"/>
      <c r="B75" s="351"/>
      <c r="C75" s="351"/>
      <c r="D75" s="351"/>
      <c r="E75" s="351"/>
      <c r="F75" s="351"/>
      <c r="G75" s="351"/>
    </row>
    <row r="76" spans="1:7" s="302" customFormat="1">
      <c r="A76" s="342"/>
      <c r="B76" s="352" t="s">
        <v>2418</v>
      </c>
      <c r="C76" s="352"/>
      <c r="D76" s="352"/>
      <c r="E76" s="352"/>
      <c r="F76" s="352"/>
      <c r="G76" s="352"/>
    </row>
    <row r="77" spans="1:7" s="302" customFormat="1">
      <c r="A77" s="342"/>
      <c r="B77" s="353"/>
      <c r="C77" s="353"/>
      <c r="D77" s="353"/>
      <c r="E77" s="353"/>
      <c r="F77" s="353"/>
      <c r="G77" s="353"/>
    </row>
    <row r="78" spans="1:7" s="302" customFormat="1">
      <c r="A78" s="342"/>
      <c r="B78" s="352" t="s">
        <v>22</v>
      </c>
      <c r="C78" s="352"/>
      <c r="D78" s="352"/>
      <c r="E78" s="352"/>
      <c r="F78" s="352"/>
      <c r="G78" s="352"/>
    </row>
    <row r="79" spans="1:7" s="302" customFormat="1">
      <c r="A79" s="342"/>
      <c r="B79" s="353"/>
      <c r="C79" s="353"/>
      <c r="D79" s="353"/>
      <c r="E79" s="353"/>
      <c r="F79" s="353"/>
      <c r="G79" s="353"/>
    </row>
    <row r="80" spans="1:7" s="302" customFormat="1">
      <c r="A80" s="342"/>
      <c r="B80" s="352" t="s">
        <v>23</v>
      </c>
      <c r="C80" s="352"/>
      <c r="D80" s="352"/>
      <c r="E80" s="352"/>
      <c r="F80" s="352"/>
      <c r="G80" s="352"/>
    </row>
    <row r="81" spans="1:7" s="302" customFormat="1">
      <c r="A81" s="342"/>
      <c r="B81" s="352" t="s">
        <v>24</v>
      </c>
      <c r="C81" s="352"/>
      <c r="D81" s="352"/>
      <c r="E81" s="352"/>
      <c r="F81" s="352"/>
      <c r="G81" s="352"/>
    </row>
    <row r="82" spans="1:7" s="303" customFormat="1">
      <c r="A82" s="346"/>
      <c r="B82" s="346"/>
      <c r="E82" s="333"/>
    </row>
    <row r="83" spans="1:7" s="101" customFormat="1">
      <c r="A83" s="290"/>
      <c r="B83" s="289"/>
      <c r="C83" s="63"/>
      <c r="E83" s="63"/>
    </row>
    <row r="84" spans="1:7" s="101" customFormat="1">
      <c r="A84" s="290"/>
      <c r="B84" s="289"/>
      <c r="C84" s="63"/>
      <c r="E84" s="63"/>
    </row>
    <row r="85" spans="1:7" s="101" customFormat="1">
      <c r="A85" s="290"/>
      <c r="B85" s="289"/>
      <c r="C85" s="63"/>
      <c r="E85" s="63"/>
    </row>
  </sheetData>
  <mergeCells count="49">
    <mergeCell ref="A35:A39"/>
    <mergeCell ref="B35:C35"/>
    <mergeCell ref="B36:C36"/>
    <mergeCell ref="A40:A44"/>
    <mergeCell ref="B40:C40"/>
    <mergeCell ref="B42:C43"/>
    <mergeCell ref="B41:C41"/>
    <mergeCell ref="G30:G31"/>
    <mergeCell ref="H30:H31"/>
    <mergeCell ref="I30:I31"/>
    <mergeCell ref="J30:J31"/>
    <mergeCell ref="G32:G34"/>
    <mergeCell ref="H32:H34"/>
    <mergeCell ref="I32:I34"/>
    <mergeCell ref="J32:J34"/>
    <mergeCell ref="A30:A34"/>
    <mergeCell ref="B30:C31"/>
    <mergeCell ref="B32:C33"/>
    <mergeCell ref="F30:F31"/>
    <mergeCell ref="D31:D33"/>
    <mergeCell ref="E31:E33"/>
    <mergeCell ref="F32:F34"/>
    <mergeCell ref="A10:A19"/>
    <mergeCell ref="B10:C10"/>
    <mergeCell ref="B11:C13"/>
    <mergeCell ref="B15:C15"/>
    <mergeCell ref="B16:C16"/>
    <mergeCell ref="B17:C17"/>
    <mergeCell ref="B18:C18"/>
    <mergeCell ref="A20:A23"/>
    <mergeCell ref="B20:C20"/>
    <mergeCell ref="A24:A29"/>
    <mergeCell ref="B24:C25"/>
    <mergeCell ref="B26:C27"/>
    <mergeCell ref="A1:J1"/>
    <mergeCell ref="A2:J2"/>
    <mergeCell ref="A3:J3"/>
    <mergeCell ref="B5:C5"/>
    <mergeCell ref="D5:E5"/>
    <mergeCell ref="I5:J5"/>
    <mergeCell ref="J8:J9"/>
    <mergeCell ref="A6:A9"/>
    <mergeCell ref="I8:I9"/>
    <mergeCell ref="G5:H5"/>
    <mergeCell ref="B6:C6"/>
    <mergeCell ref="B7:C8"/>
    <mergeCell ref="F8:F9"/>
    <mergeCell ref="G8:G9"/>
    <mergeCell ref="H8:H9"/>
  </mergeCells>
  <phoneticPr fontId="4" type="noConversion"/>
  <pageMargins left="0.7" right="0.7" top="0.75" bottom="0.75" header="0.3" footer="0.3"/>
  <pageSetup paperSize="9" scale="80" orientation="portrait" r:id="rId1"/>
</worksheet>
</file>

<file path=xl/worksheets/sheet47.xml><?xml version="1.0" encoding="utf-8"?>
<worksheet xmlns="http://schemas.openxmlformats.org/spreadsheetml/2006/main" xmlns:r="http://schemas.openxmlformats.org/officeDocument/2006/relationships">
  <dimension ref="A1:K98"/>
  <sheetViews>
    <sheetView workbookViewId="0">
      <selection sqref="A1:J1"/>
    </sheetView>
  </sheetViews>
  <sheetFormatPr defaultColWidth="9" defaultRowHeight="15.75"/>
  <cols>
    <col min="1" max="1" width="6.7109375" style="59" customWidth="1"/>
    <col min="2" max="2" width="5.85546875" style="59" customWidth="1"/>
    <col min="3" max="3" width="14.28515625" style="59" customWidth="1"/>
    <col min="4" max="5" width="7" style="59" customWidth="1"/>
    <col min="6" max="6" width="35.140625" style="59" customWidth="1"/>
    <col min="7" max="7" width="6.85546875" style="59" customWidth="1"/>
    <col min="8" max="8" width="7.28515625" style="59" customWidth="1"/>
    <col min="9" max="9" width="6.42578125" style="59" customWidth="1"/>
    <col min="10" max="10" width="7.140625" style="59" customWidth="1"/>
    <col min="11" max="11" width="5" style="59" hidden="1" customWidth="1"/>
    <col min="12" max="12" width="9" style="59" customWidth="1"/>
    <col min="13" max="16384" width="9" style="59"/>
  </cols>
  <sheetData>
    <row r="1" spans="1:11" ht="15.75" customHeight="1">
      <c r="A1" s="1371" t="s">
        <v>446</v>
      </c>
      <c r="B1" s="1371"/>
      <c r="C1" s="1371"/>
      <c r="D1" s="1371"/>
      <c r="E1" s="1371"/>
      <c r="F1" s="1371"/>
      <c r="G1" s="1371"/>
      <c r="H1" s="1371"/>
      <c r="I1" s="1371"/>
      <c r="J1" s="1371"/>
      <c r="K1" s="386"/>
    </row>
    <row r="2" spans="1:11" ht="35.25" customHeight="1">
      <c r="A2" s="1406" t="s">
        <v>560</v>
      </c>
      <c r="B2" s="1406"/>
      <c r="C2" s="1406"/>
      <c r="D2" s="1406"/>
      <c r="E2" s="1406"/>
      <c r="F2" s="1406"/>
      <c r="G2" s="1406"/>
      <c r="H2" s="1406"/>
      <c r="I2" s="1406"/>
      <c r="J2" s="1406"/>
      <c r="K2" s="419"/>
    </row>
    <row r="3" spans="1:11">
      <c r="A3" s="1371" t="s">
        <v>37</v>
      </c>
      <c r="B3" s="1371"/>
      <c r="C3" s="1371"/>
      <c r="D3" s="1371"/>
      <c r="E3" s="1371"/>
      <c r="F3" s="1371"/>
      <c r="G3" s="1371"/>
      <c r="H3" s="1371"/>
      <c r="I3" s="1371"/>
      <c r="J3" s="1371"/>
      <c r="K3" s="386"/>
    </row>
    <row r="4" spans="1:11">
      <c r="A4" s="1371" t="s">
        <v>449</v>
      </c>
      <c r="B4" s="1371"/>
      <c r="C4" s="1371"/>
      <c r="D4" s="1371"/>
      <c r="E4" s="1371"/>
      <c r="F4" s="1371"/>
      <c r="G4" s="1371"/>
      <c r="H4" s="1371"/>
      <c r="I4" s="1371"/>
      <c r="J4" s="1371"/>
      <c r="K4" s="386"/>
    </row>
    <row r="5" spans="1:11" ht="11.25" customHeight="1">
      <c r="A5" s="391"/>
      <c r="B5" s="391"/>
    </row>
    <row r="6" spans="1:11" ht="98.25" customHeight="1">
      <c r="A6" s="420" t="s">
        <v>434</v>
      </c>
      <c r="B6" s="1360" t="s">
        <v>338</v>
      </c>
      <c r="C6" s="1360"/>
      <c r="D6" s="1360" t="s">
        <v>1246</v>
      </c>
      <c r="E6" s="1360"/>
      <c r="F6" s="420" t="s">
        <v>452</v>
      </c>
      <c r="G6" s="1360" t="s">
        <v>1247</v>
      </c>
      <c r="H6" s="1360"/>
      <c r="I6" s="1360" t="s">
        <v>1248</v>
      </c>
      <c r="J6" s="1360"/>
      <c r="K6" s="421"/>
    </row>
    <row r="7" spans="1:11" ht="69" customHeight="1">
      <c r="A7" s="1355" t="s">
        <v>454</v>
      </c>
      <c r="B7" s="1361" t="s">
        <v>455</v>
      </c>
      <c r="C7" s="1362"/>
      <c r="D7" s="422"/>
      <c r="E7" s="423"/>
      <c r="F7" s="2" t="s">
        <v>456</v>
      </c>
      <c r="G7" s="424" t="s">
        <v>1249</v>
      </c>
      <c r="H7" s="425">
        <v>0.3</v>
      </c>
      <c r="I7" s="426" t="s">
        <v>914</v>
      </c>
      <c r="J7" s="427">
        <v>1</v>
      </c>
    </row>
    <row r="8" spans="1:11" ht="18.75" customHeight="1">
      <c r="A8" s="1356"/>
      <c r="B8" s="1363" t="s">
        <v>1250</v>
      </c>
      <c r="C8" s="1364"/>
      <c r="D8" s="429" t="s">
        <v>1251</v>
      </c>
      <c r="E8" s="430">
        <v>0.08</v>
      </c>
      <c r="F8" s="2" t="s">
        <v>457</v>
      </c>
      <c r="G8" s="431" t="s">
        <v>1252</v>
      </c>
      <c r="H8" s="432">
        <v>0.2</v>
      </c>
      <c r="I8" s="433" t="s">
        <v>915</v>
      </c>
      <c r="J8" s="434">
        <v>1</v>
      </c>
    </row>
    <row r="9" spans="1:11" ht="31.5" customHeight="1">
      <c r="A9" s="1356"/>
      <c r="B9" s="1363"/>
      <c r="C9" s="1364"/>
      <c r="D9" s="429"/>
      <c r="E9" s="430"/>
      <c r="F9" s="1365" t="s">
        <v>458</v>
      </c>
      <c r="G9" s="436" t="s">
        <v>1253</v>
      </c>
      <c r="H9" s="437">
        <v>0.5</v>
      </c>
      <c r="I9" s="438" t="s">
        <v>916</v>
      </c>
      <c r="J9" s="439">
        <v>1</v>
      </c>
    </row>
    <row r="10" spans="1:11" ht="33.75" customHeight="1">
      <c r="A10" s="1357"/>
      <c r="B10" s="440" t="s">
        <v>1254</v>
      </c>
      <c r="C10" s="441">
        <f>E8*(H7*J7+H8*J8+H9*J9)</f>
        <v>0.08</v>
      </c>
      <c r="D10" s="442"/>
      <c r="E10" s="443"/>
      <c r="F10" s="1408"/>
      <c r="G10" s="444"/>
      <c r="H10" s="443"/>
      <c r="I10" s="445"/>
      <c r="J10" s="446"/>
    </row>
    <row r="11" spans="1:11" ht="69" customHeight="1">
      <c r="A11" s="1355" t="s">
        <v>459</v>
      </c>
      <c r="B11" s="1379" t="s">
        <v>38</v>
      </c>
      <c r="C11" s="1362"/>
      <c r="D11" s="447"/>
      <c r="E11" s="448"/>
      <c r="F11" s="2" t="s">
        <v>460</v>
      </c>
      <c r="G11" s="449" t="s">
        <v>1255</v>
      </c>
      <c r="H11" s="641">
        <v>0.11</v>
      </c>
      <c r="I11" s="450" t="s">
        <v>917</v>
      </c>
      <c r="J11" s="451">
        <v>1</v>
      </c>
    </row>
    <row r="12" spans="1:11" ht="45.75" customHeight="1">
      <c r="A12" s="1356"/>
      <c r="B12" s="1407" t="s">
        <v>1256</v>
      </c>
      <c r="C12" s="1364"/>
      <c r="D12" s="453"/>
      <c r="E12" s="454"/>
      <c r="F12" s="2" t="s">
        <v>461</v>
      </c>
      <c r="G12" s="455" t="s">
        <v>1257</v>
      </c>
      <c r="H12" s="425">
        <v>0.11</v>
      </c>
      <c r="I12" s="426" t="s">
        <v>918</v>
      </c>
      <c r="J12" s="456">
        <v>1</v>
      </c>
    </row>
    <row r="13" spans="1:11" ht="37.5" customHeight="1">
      <c r="A13" s="1356"/>
      <c r="B13" s="1407"/>
      <c r="C13" s="1364"/>
      <c r="D13" s="453"/>
      <c r="E13" s="454"/>
      <c r="F13" s="2" t="s">
        <v>462</v>
      </c>
      <c r="G13" s="455" t="s">
        <v>1258</v>
      </c>
      <c r="H13" s="425">
        <v>0.19</v>
      </c>
      <c r="I13" s="426" t="s">
        <v>919</v>
      </c>
      <c r="J13" s="456">
        <v>1</v>
      </c>
    </row>
    <row r="14" spans="1:11" ht="37.5" customHeight="1">
      <c r="A14" s="1356"/>
      <c r="B14" s="1407"/>
      <c r="C14" s="1364"/>
      <c r="D14" s="453"/>
      <c r="E14" s="454"/>
      <c r="F14" s="2" t="s">
        <v>463</v>
      </c>
      <c r="G14" s="455" t="s">
        <v>1259</v>
      </c>
      <c r="H14" s="425">
        <v>0.14000000000000001</v>
      </c>
      <c r="I14" s="426" t="s">
        <v>920</v>
      </c>
      <c r="J14" s="456">
        <v>1</v>
      </c>
    </row>
    <row r="15" spans="1:11" ht="53.25" customHeight="1">
      <c r="A15" s="1356"/>
      <c r="B15" s="1380"/>
      <c r="C15" s="1381"/>
      <c r="D15" s="457" t="s">
        <v>1260</v>
      </c>
      <c r="E15" s="458">
        <v>0.08</v>
      </c>
      <c r="F15" s="2" t="s">
        <v>464</v>
      </c>
      <c r="G15" s="455" t="s">
        <v>1261</v>
      </c>
      <c r="H15" s="425">
        <v>0.13</v>
      </c>
      <c r="I15" s="426" t="s">
        <v>921</v>
      </c>
      <c r="J15" s="456">
        <v>1</v>
      </c>
    </row>
    <row r="16" spans="1:11" ht="33.75" customHeight="1">
      <c r="A16" s="1356"/>
      <c r="B16" s="1380"/>
      <c r="C16" s="1381"/>
      <c r="D16" s="453"/>
      <c r="E16" s="454"/>
      <c r="F16" s="2" t="s">
        <v>465</v>
      </c>
      <c r="G16" s="455" t="s">
        <v>1262</v>
      </c>
      <c r="H16" s="425">
        <v>0.1</v>
      </c>
      <c r="I16" s="426" t="s">
        <v>922</v>
      </c>
      <c r="J16" s="456">
        <v>1</v>
      </c>
    </row>
    <row r="17" spans="1:10" ht="19.5" customHeight="1">
      <c r="A17" s="1356"/>
      <c r="B17" s="1380"/>
      <c r="C17" s="1381"/>
      <c r="D17" s="453"/>
      <c r="E17" s="454"/>
      <c r="F17" s="2" t="s">
        <v>466</v>
      </c>
      <c r="G17" s="455" t="s">
        <v>1263</v>
      </c>
      <c r="H17" s="425">
        <v>0.08</v>
      </c>
      <c r="I17" s="426" t="s">
        <v>923</v>
      </c>
      <c r="J17" s="456">
        <v>1</v>
      </c>
    </row>
    <row r="18" spans="1:10" ht="20.25" customHeight="1">
      <c r="A18" s="1356"/>
      <c r="B18" s="1380"/>
      <c r="C18" s="1381"/>
      <c r="D18" s="453"/>
      <c r="E18" s="454"/>
      <c r="F18" s="2" t="s">
        <v>467</v>
      </c>
      <c r="G18" s="455" t="s">
        <v>1264</v>
      </c>
      <c r="H18" s="425">
        <v>0.06</v>
      </c>
      <c r="I18" s="426" t="s">
        <v>924</v>
      </c>
      <c r="J18" s="456">
        <v>1</v>
      </c>
    </row>
    <row r="19" spans="1:10" ht="23.25" customHeight="1">
      <c r="A19" s="1356"/>
      <c r="B19" s="1380"/>
      <c r="C19" s="1381"/>
      <c r="D19" s="453"/>
      <c r="E19" s="454"/>
      <c r="F19" s="2" t="s">
        <v>468</v>
      </c>
      <c r="G19" s="455" t="s">
        <v>1265</v>
      </c>
      <c r="H19" s="425">
        <v>0.03</v>
      </c>
      <c r="I19" s="426" t="s">
        <v>925</v>
      </c>
      <c r="J19" s="456">
        <v>1</v>
      </c>
    </row>
    <row r="20" spans="1:10" ht="35.25" customHeight="1">
      <c r="A20" s="1357"/>
      <c r="B20" s="459" t="s">
        <v>1266</v>
      </c>
      <c r="C20" s="460">
        <f>E15*(H11*J11+H12*J12+H13*J13+H14*J14+H15*J15+H16*J16+H17*J17+H18*J18+H19*J19+H20*J20)</f>
        <v>0.08</v>
      </c>
      <c r="D20" s="461"/>
      <c r="E20" s="462"/>
      <c r="F20" s="2" t="s">
        <v>469</v>
      </c>
      <c r="G20" s="455" t="s">
        <v>1267</v>
      </c>
      <c r="H20" s="425">
        <v>0.05</v>
      </c>
      <c r="I20" s="426" t="s">
        <v>926</v>
      </c>
      <c r="J20" s="456">
        <v>1</v>
      </c>
    </row>
    <row r="21" spans="1:10" ht="162" customHeight="1">
      <c r="A21" s="1372" t="s">
        <v>470</v>
      </c>
      <c r="B21" s="1373" t="s">
        <v>1268</v>
      </c>
      <c r="C21" s="1409"/>
      <c r="D21" s="463" t="s">
        <v>1269</v>
      </c>
      <c r="E21" s="464">
        <v>0.1</v>
      </c>
      <c r="F21" s="2" t="s">
        <v>471</v>
      </c>
      <c r="G21" s="455" t="s">
        <v>1270</v>
      </c>
      <c r="H21" s="425">
        <v>0.37</v>
      </c>
      <c r="I21" s="426" t="s">
        <v>927</v>
      </c>
      <c r="J21" s="456">
        <v>1</v>
      </c>
    </row>
    <row r="22" spans="1:10" ht="35.25" customHeight="1">
      <c r="A22" s="1372"/>
      <c r="B22" s="1377" t="s">
        <v>1271</v>
      </c>
      <c r="C22" s="1378"/>
      <c r="D22" s="453"/>
      <c r="E22" s="454"/>
      <c r="F22" s="2" t="s">
        <v>472</v>
      </c>
      <c r="G22" s="455" t="s">
        <v>1272</v>
      </c>
      <c r="H22" s="425">
        <v>0.18</v>
      </c>
      <c r="I22" s="426" t="s">
        <v>928</v>
      </c>
      <c r="J22" s="456">
        <v>1</v>
      </c>
    </row>
    <row r="23" spans="1:10" ht="50.25" customHeight="1">
      <c r="A23" s="1372"/>
      <c r="B23" s="1377"/>
      <c r="C23" s="1378"/>
      <c r="D23" s="453"/>
      <c r="E23" s="454"/>
      <c r="F23" s="2" t="s">
        <v>84</v>
      </c>
      <c r="G23" s="455" t="s">
        <v>1273</v>
      </c>
      <c r="H23" s="425">
        <v>0.27</v>
      </c>
      <c r="I23" s="426" t="s">
        <v>929</v>
      </c>
      <c r="J23" s="456">
        <v>1</v>
      </c>
    </row>
    <row r="24" spans="1:10" ht="35.25" customHeight="1">
      <c r="A24" s="1372"/>
      <c r="B24" s="440" t="s">
        <v>1274</v>
      </c>
      <c r="C24" s="441">
        <f>E21*(H21*J21+H22*J22+H23*J23+H24*J24)</f>
        <v>0.1</v>
      </c>
      <c r="D24" s="461"/>
      <c r="E24" s="462"/>
      <c r="F24" s="2" t="s">
        <v>85</v>
      </c>
      <c r="G24" s="455" t="s">
        <v>1275</v>
      </c>
      <c r="H24" s="425">
        <v>0.18</v>
      </c>
      <c r="I24" s="426" t="s">
        <v>930</v>
      </c>
      <c r="J24" s="456">
        <v>1</v>
      </c>
    </row>
    <row r="25" spans="1:10" ht="39.75" customHeight="1">
      <c r="A25" s="1355" t="s">
        <v>473</v>
      </c>
      <c r="B25" s="1361" t="s">
        <v>1276</v>
      </c>
      <c r="C25" s="1362"/>
      <c r="D25" s="447"/>
      <c r="E25" s="448"/>
      <c r="F25" s="2" t="s">
        <v>474</v>
      </c>
      <c r="G25" s="455" t="s">
        <v>1277</v>
      </c>
      <c r="H25" s="425">
        <v>0.28000000000000003</v>
      </c>
      <c r="I25" s="426" t="s">
        <v>931</v>
      </c>
      <c r="J25" s="456">
        <v>1</v>
      </c>
    </row>
    <row r="26" spans="1:10" ht="36" customHeight="1">
      <c r="A26" s="1356"/>
      <c r="B26" s="1377" t="s">
        <v>1278</v>
      </c>
      <c r="C26" s="1378"/>
      <c r="D26" s="467" t="s">
        <v>1279</v>
      </c>
      <c r="E26" s="430">
        <v>7.0000000000000007E-2</v>
      </c>
      <c r="F26" s="468" t="s">
        <v>465</v>
      </c>
      <c r="G26" s="455" t="s">
        <v>1280</v>
      </c>
      <c r="H26" s="425">
        <v>0.44</v>
      </c>
      <c r="I26" s="426" t="s">
        <v>933</v>
      </c>
      <c r="J26" s="456">
        <v>1</v>
      </c>
    </row>
    <row r="27" spans="1:10" ht="24.75" customHeight="1">
      <c r="A27" s="1356"/>
      <c r="B27" s="1377"/>
      <c r="C27" s="1378"/>
      <c r="D27" s="453"/>
      <c r="E27" s="454"/>
      <c r="F27" s="1405" t="s">
        <v>475</v>
      </c>
      <c r="G27" s="470" t="s">
        <v>1281</v>
      </c>
      <c r="H27" s="471">
        <v>0.28000000000000003</v>
      </c>
      <c r="I27" s="472" t="s">
        <v>935</v>
      </c>
      <c r="J27" s="473">
        <v>1</v>
      </c>
    </row>
    <row r="28" spans="1:10" ht="20.25" customHeight="1">
      <c r="A28" s="1356"/>
      <c r="B28" s="474" t="s">
        <v>1282</v>
      </c>
      <c r="C28" s="475">
        <f>E26*(H25*J25+H26*J26+H27*J27)</f>
        <v>7.0000000000000007E-2</v>
      </c>
      <c r="D28" s="453"/>
      <c r="E28" s="454"/>
      <c r="F28" s="1390"/>
      <c r="G28" s="470"/>
      <c r="H28" s="476"/>
      <c r="I28" s="477"/>
      <c r="J28" s="478"/>
    </row>
    <row r="29" spans="1:10" ht="40.5" customHeight="1">
      <c r="A29" s="1355" t="s">
        <v>476</v>
      </c>
      <c r="B29" s="1401" t="s">
        <v>477</v>
      </c>
      <c r="C29" s="1402"/>
      <c r="D29" s="447"/>
      <c r="E29" s="448"/>
      <c r="F29" s="2" t="s">
        <v>478</v>
      </c>
      <c r="G29" s="455" t="s">
        <v>1283</v>
      </c>
      <c r="H29" s="425">
        <v>0.5</v>
      </c>
      <c r="I29" s="450" t="s">
        <v>936</v>
      </c>
      <c r="J29" s="451">
        <v>1</v>
      </c>
    </row>
    <row r="30" spans="1:10" ht="63.75" customHeight="1">
      <c r="A30" s="1356"/>
      <c r="B30" s="1385" t="s">
        <v>1284</v>
      </c>
      <c r="C30" s="1386"/>
      <c r="D30" s="467" t="s">
        <v>1285</v>
      </c>
      <c r="E30" s="430">
        <v>0.1</v>
      </c>
      <c r="F30" s="1365" t="s">
        <v>39</v>
      </c>
      <c r="G30" s="429" t="s">
        <v>1286</v>
      </c>
      <c r="H30" s="430">
        <v>0.5</v>
      </c>
      <c r="I30" s="481" t="s">
        <v>937</v>
      </c>
      <c r="J30" s="482">
        <v>1</v>
      </c>
    </row>
    <row r="31" spans="1:10" ht="24.75" customHeight="1">
      <c r="A31" s="1357"/>
      <c r="B31" s="440" t="s">
        <v>1287</v>
      </c>
      <c r="C31" s="441">
        <f>E30*(H29*J29+H30*J30)</f>
        <v>0.1</v>
      </c>
      <c r="D31" s="461"/>
      <c r="E31" s="462"/>
      <c r="F31" s="1366"/>
      <c r="G31" s="449"/>
      <c r="H31" s="484"/>
      <c r="I31" s="445"/>
      <c r="J31" s="485"/>
    </row>
    <row r="32" spans="1:10" ht="49.5" customHeight="1">
      <c r="A32" s="1355" t="s">
        <v>29</v>
      </c>
      <c r="B32" s="1361" t="s">
        <v>488</v>
      </c>
      <c r="C32" s="1362"/>
      <c r="D32" s="447"/>
      <c r="E32" s="448"/>
      <c r="F32" s="2" t="s">
        <v>489</v>
      </c>
      <c r="G32" s="455" t="s">
        <v>1288</v>
      </c>
      <c r="H32" s="425">
        <v>0.33</v>
      </c>
      <c r="I32" s="450" t="s">
        <v>938</v>
      </c>
      <c r="J32" s="451">
        <v>1</v>
      </c>
    </row>
    <row r="33" spans="1:10" ht="43.5" customHeight="1">
      <c r="A33" s="1356"/>
      <c r="B33" s="1375"/>
      <c r="C33" s="1376"/>
      <c r="D33" s="487" t="s">
        <v>1289</v>
      </c>
      <c r="E33" s="437">
        <v>0.1</v>
      </c>
      <c r="F33" s="2" t="s">
        <v>340</v>
      </c>
      <c r="G33" s="455" t="s">
        <v>1290</v>
      </c>
      <c r="H33" s="425">
        <v>0.33</v>
      </c>
      <c r="I33" s="426" t="s">
        <v>939</v>
      </c>
      <c r="J33" s="427">
        <v>1</v>
      </c>
    </row>
    <row r="34" spans="1:10" ht="58.5" customHeight="1">
      <c r="A34" s="1356"/>
      <c r="B34" s="1375"/>
      <c r="C34" s="1376"/>
      <c r="D34" s="453"/>
      <c r="E34" s="454"/>
      <c r="F34" s="488" t="s">
        <v>490</v>
      </c>
      <c r="G34" s="429" t="s">
        <v>1291</v>
      </c>
      <c r="H34" s="430">
        <v>0.34</v>
      </c>
      <c r="I34" s="481" t="s">
        <v>940</v>
      </c>
      <c r="J34" s="482">
        <v>1</v>
      </c>
    </row>
    <row r="35" spans="1:10" ht="50.25" customHeight="1">
      <c r="A35" s="1356"/>
      <c r="B35" s="1377" t="s">
        <v>1292</v>
      </c>
      <c r="C35" s="1378"/>
      <c r="D35" s="453"/>
      <c r="E35" s="454"/>
      <c r="F35" s="489"/>
      <c r="G35" s="453"/>
      <c r="H35" s="490"/>
      <c r="I35" s="491"/>
      <c r="J35" s="492"/>
    </row>
    <row r="36" spans="1:10" ht="17.25">
      <c r="A36" s="1357"/>
      <c r="B36" s="493" t="s">
        <v>1293</v>
      </c>
      <c r="C36" s="494">
        <f>E33*(H32*J32+H33*J33+H34*J34)</f>
        <v>0.1</v>
      </c>
      <c r="D36" s="461"/>
      <c r="E36" s="462"/>
      <c r="F36" s="495"/>
      <c r="G36" s="461"/>
      <c r="H36" s="496"/>
      <c r="I36" s="497"/>
      <c r="J36" s="446"/>
    </row>
    <row r="37" spans="1:10" ht="51.75" customHeight="1">
      <c r="A37" s="1355" t="s">
        <v>487</v>
      </c>
      <c r="B37" s="1361" t="s">
        <v>341</v>
      </c>
      <c r="C37" s="1362"/>
      <c r="D37" s="447"/>
      <c r="E37" s="448"/>
      <c r="F37" s="2" t="s">
        <v>342</v>
      </c>
      <c r="G37" s="498" t="s">
        <v>1294</v>
      </c>
      <c r="H37" s="425">
        <v>0.21</v>
      </c>
      <c r="I37" s="450" t="s">
        <v>941</v>
      </c>
      <c r="J37" s="451">
        <v>1</v>
      </c>
    </row>
    <row r="38" spans="1:10" ht="51" customHeight="1">
      <c r="A38" s="1356"/>
      <c r="B38" s="1375"/>
      <c r="C38" s="1376"/>
      <c r="D38" s="453"/>
      <c r="E38" s="454"/>
      <c r="F38" s="2" t="s">
        <v>343</v>
      </c>
      <c r="G38" s="498" t="s">
        <v>1295</v>
      </c>
      <c r="H38" s="425">
        <v>0.21</v>
      </c>
      <c r="I38" s="426" t="s">
        <v>942</v>
      </c>
      <c r="J38" s="427">
        <v>1</v>
      </c>
    </row>
    <row r="39" spans="1:10" ht="50.25" customHeight="1">
      <c r="A39" s="1356"/>
      <c r="B39" s="1385" t="s">
        <v>1296</v>
      </c>
      <c r="C39" s="1386"/>
      <c r="D39" s="487"/>
      <c r="E39" s="437"/>
      <c r="F39" s="2" t="s">
        <v>344</v>
      </c>
      <c r="G39" s="498" t="s">
        <v>1297</v>
      </c>
      <c r="H39" s="425">
        <v>0.21</v>
      </c>
      <c r="I39" s="426" t="s">
        <v>943</v>
      </c>
      <c r="J39" s="427">
        <v>1</v>
      </c>
    </row>
    <row r="40" spans="1:10" ht="63">
      <c r="A40" s="1356"/>
      <c r="B40" s="1385"/>
      <c r="C40" s="1386"/>
      <c r="D40" s="457" t="s">
        <v>1298</v>
      </c>
      <c r="E40" s="458">
        <v>0.11</v>
      </c>
      <c r="F40" s="499" t="s">
        <v>496</v>
      </c>
      <c r="G40" s="498" t="s">
        <v>1299</v>
      </c>
      <c r="H40" s="425">
        <v>0.1</v>
      </c>
      <c r="I40" s="426" t="s">
        <v>944</v>
      </c>
      <c r="J40" s="427">
        <v>1</v>
      </c>
    </row>
    <row r="41" spans="1:10" ht="51" customHeight="1">
      <c r="A41" s="1356"/>
      <c r="B41" s="489"/>
      <c r="C41" s="500"/>
      <c r="D41" s="453"/>
      <c r="E41" s="454"/>
      <c r="F41" s="2" t="s">
        <v>497</v>
      </c>
      <c r="G41" s="498" t="s">
        <v>1300</v>
      </c>
      <c r="H41" s="425">
        <v>0.1</v>
      </c>
      <c r="I41" s="426" t="s">
        <v>945</v>
      </c>
      <c r="J41" s="427">
        <v>1</v>
      </c>
    </row>
    <row r="42" spans="1:10" ht="35.25" customHeight="1">
      <c r="A42" s="1357"/>
      <c r="B42" s="501" t="s">
        <v>1301</v>
      </c>
      <c r="C42" s="460">
        <f>E40*(H37*J37+H38*J38+H39*J39+H40*J40+H41*J41+H42*J42)</f>
        <v>0.11</v>
      </c>
      <c r="D42" s="461"/>
      <c r="E42" s="462"/>
      <c r="F42" s="2" t="s">
        <v>498</v>
      </c>
      <c r="G42" s="498" t="s">
        <v>1302</v>
      </c>
      <c r="H42" s="425">
        <v>0.17</v>
      </c>
      <c r="I42" s="426" t="s">
        <v>946</v>
      </c>
      <c r="J42" s="427">
        <v>1</v>
      </c>
    </row>
    <row r="43" spans="1:10" ht="51.75" customHeight="1">
      <c r="A43" s="1372" t="s">
        <v>491</v>
      </c>
      <c r="B43" s="1361" t="s">
        <v>500</v>
      </c>
      <c r="C43" s="1362"/>
      <c r="D43" s="447"/>
      <c r="E43" s="448"/>
      <c r="F43" s="2" t="s">
        <v>501</v>
      </c>
      <c r="G43" s="498" t="s">
        <v>1303</v>
      </c>
      <c r="H43" s="425">
        <v>0.32</v>
      </c>
      <c r="I43" s="426" t="s">
        <v>947</v>
      </c>
      <c r="J43" s="427">
        <v>1</v>
      </c>
    </row>
    <row r="44" spans="1:10" ht="36" customHeight="1">
      <c r="A44" s="1372"/>
      <c r="B44" s="1385" t="s">
        <v>1304</v>
      </c>
      <c r="C44" s="1386"/>
      <c r="D44" s="487" t="s">
        <v>1305</v>
      </c>
      <c r="E44" s="437">
        <v>0.09</v>
      </c>
      <c r="F44" s="2" t="s">
        <v>502</v>
      </c>
      <c r="G44" s="498" t="s">
        <v>1306</v>
      </c>
      <c r="H44" s="425">
        <v>0.24</v>
      </c>
      <c r="I44" s="426" t="s">
        <v>948</v>
      </c>
      <c r="J44" s="427">
        <v>1</v>
      </c>
    </row>
    <row r="45" spans="1:10" ht="34.5" customHeight="1">
      <c r="A45" s="1372"/>
      <c r="B45" s="1385"/>
      <c r="C45" s="1386"/>
      <c r="D45" s="453"/>
      <c r="E45" s="454"/>
      <c r="F45" s="2" t="s">
        <v>549</v>
      </c>
      <c r="G45" s="498" t="s">
        <v>1307</v>
      </c>
      <c r="H45" s="425">
        <v>0.18</v>
      </c>
      <c r="I45" s="426" t="s">
        <v>949</v>
      </c>
      <c r="J45" s="427">
        <v>1</v>
      </c>
    </row>
    <row r="46" spans="1:10" ht="52.5" customHeight="1">
      <c r="A46" s="1372"/>
      <c r="B46" s="440" t="s">
        <v>1308</v>
      </c>
      <c r="C46" s="441">
        <f>E44*(H43*J43+H44*J44+H45*J45+H46*J46)</f>
        <v>0.09</v>
      </c>
      <c r="D46" s="461"/>
      <c r="E46" s="462"/>
      <c r="F46" s="2" t="s">
        <v>86</v>
      </c>
      <c r="G46" s="498" t="s">
        <v>1309</v>
      </c>
      <c r="H46" s="425">
        <v>0.26</v>
      </c>
      <c r="I46" s="426" t="s">
        <v>950</v>
      </c>
      <c r="J46" s="427">
        <v>1</v>
      </c>
    </row>
    <row r="47" spans="1:10" ht="69" customHeight="1">
      <c r="A47" s="1382" t="s">
        <v>499</v>
      </c>
      <c r="B47" s="1361" t="s">
        <v>40</v>
      </c>
      <c r="C47" s="1362"/>
      <c r="D47" s="502"/>
      <c r="E47" s="502"/>
      <c r="F47" s="2" t="s">
        <v>35</v>
      </c>
      <c r="G47" s="498" t="s">
        <v>1310</v>
      </c>
      <c r="H47" s="425">
        <v>0.32</v>
      </c>
      <c r="I47" s="426" t="s">
        <v>951</v>
      </c>
      <c r="J47" s="427">
        <v>1</v>
      </c>
    </row>
    <row r="48" spans="1:10" ht="43.5" customHeight="1">
      <c r="A48" s="1383"/>
      <c r="B48" s="1375"/>
      <c r="C48" s="1376"/>
      <c r="D48" s="503" t="s">
        <v>1311</v>
      </c>
      <c r="E48" s="504">
        <v>0.09</v>
      </c>
      <c r="F48" s="2" t="s">
        <v>506</v>
      </c>
      <c r="G48" s="498" t="s">
        <v>1312</v>
      </c>
      <c r="H48" s="425">
        <v>0.26</v>
      </c>
      <c r="I48" s="426" t="s">
        <v>952</v>
      </c>
      <c r="J48" s="427">
        <v>1</v>
      </c>
    </row>
    <row r="49" spans="1:11" ht="23.25" customHeight="1">
      <c r="A49" s="1383"/>
      <c r="B49" s="1385" t="s">
        <v>1313</v>
      </c>
      <c r="C49" s="1386"/>
      <c r="D49" s="505"/>
      <c r="E49" s="505"/>
      <c r="F49" s="2" t="s">
        <v>507</v>
      </c>
      <c r="G49" s="498" t="s">
        <v>1314</v>
      </c>
      <c r="H49" s="425">
        <v>0.24</v>
      </c>
      <c r="I49" s="426" t="s">
        <v>953</v>
      </c>
      <c r="J49" s="427">
        <v>1</v>
      </c>
    </row>
    <row r="50" spans="1:11" ht="43.5" customHeight="1">
      <c r="A50" s="1383"/>
      <c r="B50" s="1385"/>
      <c r="C50" s="1386"/>
      <c r="D50" s="505"/>
      <c r="E50" s="505"/>
      <c r="F50" s="1365" t="s">
        <v>508</v>
      </c>
      <c r="G50" s="506" t="s">
        <v>1315</v>
      </c>
      <c r="H50" s="507">
        <v>0.18</v>
      </c>
      <c r="I50" s="481" t="s">
        <v>954</v>
      </c>
      <c r="J50" s="482">
        <v>1</v>
      </c>
    </row>
    <row r="51" spans="1:11" ht="17.25">
      <c r="A51" s="1384"/>
      <c r="B51" s="493" t="s">
        <v>1316</v>
      </c>
      <c r="C51" s="508">
        <f>E48*(H47*J47+H48*J48+H49*J49+H50*J50)</f>
        <v>0.09</v>
      </c>
      <c r="D51" s="461"/>
      <c r="E51" s="496"/>
      <c r="F51" s="1366"/>
      <c r="G51" s="467"/>
      <c r="H51" s="504"/>
      <c r="I51" s="445"/>
      <c r="J51" s="485"/>
      <c r="K51" s="509"/>
    </row>
    <row r="52" spans="1:11" ht="54" customHeight="1">
      <c r="A52" s="1372" t="s">
        <v>504</v>
      </c>
      <c r="B52" s="1361" t="s">
        <v>510</v>
      </c>
      <c r="C52" s="1362"/>
      <c r="D52" s="447"/>
      <c r="E52" s="448"/>
      <c r="F52" s="2" t="s">
        <v>41</v>
      </c>
      <c r="G52" s="506" t="s">
        <v>1317</v>
      </c>
      <c r="H52" s="507">
        <v>0.27</v>
      </c>
      <c r="I52" s="450" t="s">
        <v>955</v>
      </c>
      <c r="J52" s="451">
        <v>1</v>
      </c>
    </row>
    <row r="53" spans="1:11" ht="50.25" customHeight="1">
      <c r="A53" s="1372"/>
      <c r="B53" s="489"/>
      <c r="C53" s="500"/>
      <c r="D53" s="453"/>
      <c r="E53" s="454"/>
      <c r="F53" s="2" t="s">
        <v>42</v>
      </c>
      <c r="G53" s="506" t="s">
        <v>1318</v>
      </c>
      <c r="H53" s="507">
        <v>0.23</v>
      </c>
      <c r="I53" s="426" t="s">
        <v>956</v>
      </c>
      <c r="J53" s="427">
        <v>1</v>
      </c>
    </row>
    <row r="54" spans="1:11" ht="82.5" customHeight="1">
      <c r="A54" s="1372"/>
      <c r="B54" s="1377" t="s">
        <v>1319</v>
      </c>
      <c r="C54" s="1378"/>
      <c r="D54" s="487"/>
      <c r="E54" s="454"/>
      <c r="F54" s="2" t="s">
        <v>367</v>
      </c>
      <c r="G54" s="506" t="s">
        <v>1320</v>
      </c>
      <c r="H54" s="507">
        <v>0.18</v>
      </c>
      <c r="I54" s="426" t="s">
        <v>957</v>
      </c>
      <c r="J54" s="427">
        <v>1</v>
      </c>
    </row>
    <row r="55" spans="1:11" ht="97.5" customHeight="1">
      <c r="A55" s="1372"/>
      <c r="B55" s="489"/>
      <c r="C55" s="500"/>
      <c r="D55" s="457" t="s">
        <v>1321</v>
      </c>
      <c r="E55" s="458">
        <v>0.11</v>
      </c>
      <c r="F55" s="2" t="s">
        <v>0</v>
      </c>
      <c r="G55" s="506" t="s">
        <v>1322</v>
      </c>
      <c r="H55" s="507">
        <v>0.09</v>
      </c>
      <c r="I55" s="426" t="s">
        <v>958</v>
      </c>
      <c r="J55" s="427">
        <v>1</v>
      </c>
    </row>
    <row r="56" spans="1:11" ht="83.25" customHeight="1">
      <c r="A56" s="1372"/>
      <c r="B56" s="510"/>
      <c r="C56" s="511"/>
      <c r="D56" s="453"/>
      <c r="E56" s="454"/>
      <c r="F56" s="2" t="s">
        <v>1</v>
      </c>
      <c r="G56" s="506" t="s">
        <v>1323</v>
      </c>
      <c r="H56" s="507">
        <v>0.09</v>
      </c>
      <c r="I56" s="426" t="s">
        <v>959</v>
      </c>
      <c r="J56" s="427">
        <v>1</v>
      </c>
    </row>
    <row r="57" spans="1:11" ht="32.25">
      <c r="A57" s="1372"/>
      <c r="B57" s="510" t="s">
        <v>1324</v>
      </c>
      <c r="C57" s="511">
        <f>E55*(H52*J52+H53*J53+H54*J54+H55*J55+H56*J56+H57*J57)</f>
        <v>0.10999999999999999</v>
      </c>
      <c r="D57" s="461"/>
      <c r="E57" s="462"/>
      <c r="F57" s="499" t="s">
        <v>13</v>
      </c>
      <c r="G57" s="498" t="s">
        <v>1325</v>
      </c>
      <c r="H57" s="425">
        <v>0.14000000000000001</v>
      </c>
      <c r="I57" s="426" t="s">
        <v>960</v>
      </c>
      <c r="J57" s="427">
        <v>1</v>
      </c>
    </row>
    <row r="58" spans="1:11" ht="61.5" customHeight="1">
      <c r="A58" s="1355" t="s">
        <v>509</v>
      </c>
      <c r="B58" s="1361" t="s">
        <v>17</v>
      </c>
      <c r="C58" s="1362"/>
      <c r="D58" s="447"/>
      <c r="E58" s="448"/>
      <c r="F58" s="499" t="s">
        <v>18</v>
      </c>
      <c r="G58" s="498" t="s">
        <v>1326</v>
      </c>
      <c r="H58" s="425">
        <v>0.37</v>
      </c>
      <c r="I58" s="426" t="s">
        <v>961</v>
      </c>
      <c r="J58" s="427">
        <v>1</v>
      </c>
    </row>
    <row r="59" spans="1:11" ht="36" customHeight="1">
      <c r="A59" s="1356"/>
      <c r="B59" s="1403" t="s">
        <v>1327</v>
      </c>
      <c r="C59" s="1404"/>
      <c r="D59" s="453"/>
      <c r="E59" s="454"/>
      <c r="F59" s="2" t="s">
        <v>19</v>
      </c>
      <c r="G59" s="498" t="s">
        <v>1328</v>
      </c>
      <c r="H59" s="425">
        <v>0.27</v>
      </c>
      <c r="I59" s="426" t="s">
        <v>962</v>
      </c>
      <c r="J59" s="427">
        <v>1</v>
      </c>
    </row>
    <row r="60" spans="1:11" ht="37.5" customHeight="1">
      <c r="A60" s="1356"/>
      <c r="B60" s="1403"/>
      <c r="C60" s="1404"/>
      <c r="D60" s="487" t="s">
        <v>1329</v>
      </c>
      <c r="E60" s="437">
        <v>7.0000000000000007E-2</v>
      </c>
      <c r="F60" s="2" t="s">
        <v>349</v>
      </c>
      <c r="G60" s="512" t="s">
        <v>1330</v>
      </c>
      <c r="H60" s="425">
        <v>0.18</v>
      </c>
      <c r="I60" s="426" t="s">
        <v>963</v>
      </c>
      <c r="J60" s="427">
        <v>1</v>
      </c>
    </row>
    <row r="61" spans="1:11" ht="84.75" customHeight="1">
      <c r="A61" s="1357"/>
      <c r="B61" s="440" t="s">
        <v>1331</v>
      </c>
      <c r="C61" s="441">
        <f>E60*(H58*J58+H59*J59+H60*J60+H61*J61)</f>
        <v>7.0000000000000007E-2</v>
      </c>
      <c r="D61" s="461"/>
      <c r="E61" s="462"/>
      <c r="F61" s="2" t="s">
        <v>368</v>
      </c>
      <c r="G61" s="498" t="s">
        <v>1332</v>
      </c>
      <c r="H61" s="425">
        <v>0.18</v>
      </c>
      <c r="I61" s="426" t="s">
        <v>964</v>
      </c>
      <c r="J61" s="427">
        <v>1</v>
      </c>
    </row>
    <row r="62" spans="1:11" ht="19.5" customHeight="1">
      <c r="A62" s="513"/>
      <c r="B62" s="514" t="s">
        <v>769</v>
      </c>
      <c r="C62" s="515">
        <f>SUM(C10,C20,C24,C28,C31,C36,C42,C46,C51,C57,C61)</f>
        <v>1</v>
      </c>
      <c r="D62" s="516"/>
      <c r="E62" s="516"/>
      <c r="F62" s="516"/>
      <c r="G62" s="516"/>
      <c r="H62" s="516"/>
      <c r="I62" s="516"/>
      <c r="J62" s="516"/>
    </row>
    <row r="63" spans="1:11" ht="19.5" customHeight="1">
      <c r="A63" s="513"/>
      <c r="B63" s="516"/>
      <c r="C63" s="517" t="s">
        <v>444</v>
      </c>
      <c r="D63" s="516"/>
      <c r="E63" s="518"/>
      <c r="F63" s="519" t="str">
        <f>IF(C62&lt;=0.5,"низький",IF(C62&lt;=0.75,"середній",(IF(C62&lt;=0.95,"достатній",(IF(C62&lt;=1,"високий"))))))</f>
        <v>високий</v>
      </c>
      <c r="G63" s="516"/>
      <c r="H63" s="516"/>
      <c r="I63" s="516"/>
      <c r="J63" s="516"/>
    </row>
    <row r="64" spans="1:11" s="302" customFormat="1">
      <c r="A64" s="288" t="s">
        <v>182</v>
      </c>
      <c r="B64" s="289"/>
      <c r="C64" s="342"/>
      <c r="E64" s="343"/>
      <c r="F64" s="344"/>
      <c r="G64" s="112"/>
    </row>
    <row r="65" spans="1:7" s="302" customFormat="1" ht="17.25">
      <c r="A65" s="345" t="s">
        <v>589</v>
      </c>
      <c r="B65" s="346"/>
      <c r="C65" s="347"/>
      <c r="D65" s="303"/>
      <c r="E65" s="348"/>
      <c r="F65" s="349"/>
      <c r="G65" s="112"/>
    </row>
    <row r="66" spans="1:7" s="302" customFormat="1" ht="17.25">
      <c r="A66" s="345" t="s">
        <v>590</v>
      </c>
      <c r="B66" s="346"/>
      <c r="C66" s="347"/>
      <c r="D66" s="303"/>
      <c r="E66" s="348"/>
      <c r="F66" s="349"/>
      <c r="G66" s="112"/>
    </row>
    <row r="67" spans="1:7" s="302" customFormat="1" ht="17.25">
      <c r="A67" s="345" t="s">
        <v>591</v>
      </c>
      <c r="B67" s="346"/>
      <c r="C67" s="347"/>
      <c r="D67" s="303"/>
      <c r="E67" s="348"/>
      <c r="F67" s="349"/>
      <c r="G67" s="112"/>
    </row>
    <row r="68" spans="1:7" s="302" customFormat="1" ht="17.25">
      <c r="A68" s="345" t="s">
        <v>592</v>
      </c>
      <c r="B68" s="346"/>
      <c r="C68" s="347"/>
      <c r="D68" s="303"/>
      <c r="E68" s="348"/>
      <c r="F68" s="349"/>
      <c r="G68" s="112"/>
    </row>
    <row r="69" spans="1:7" s="302" customFormat="1" ht="17.25">
      <c r="A69" s="345" t="s">
        <v>593</v>
      </c>
      <c r="B69" s="346"/>
      <c r="C69" s="347"/>
      <c r="D69" s="303"/>
      <c r="E69" s="348"/>
      <c r="F69" s="349"/>
      <c r="G69" s="112"/>
    </row>
    <row r="70" spans="1:7" s="302" customFormat="1" ht="17.25">
      <c r="A70" s="345" t="s">
        <v>594</v>
      </c>
      <c r="B70" s="346"/>
      <c r="C70" s="347"/>
      <c r="D70" s="303"/>
      <c r="E70" s="348"/>
      <c r="F70" s="349"/>
      <c r="G70" s="112"/>
    </row>
    <row r="71" spans="1:7" s="302" customFormat="1" ht="17.25">
      <c r="A71" s="345" t="s">
        <v>595</v>
      </c>
      <c r="B71" s="346"/>
      <c r="C71" s="347"/>
      <c r="D71" s="303"/>
      <c r="E71" s="348"/>
      <c r="F71" s="349"/>
      <c r="G71" s="112"/>
    </row>
    <row r="72" spans="1:7" s="302" customFormat="1">
      <c r="A72" s="350" t="s">
        <v>596</v>
      </c>
      <c r="B72" s="346"/>
      <c r="C72" s="347"/>
      <c r="D72" s="303"/>
      <c r="E72" s="348"/>
      <c r="F72" s="349"/>
      <c r="G72" s="112"/>
    </row>
    <row r="73" spans="1:7" s="302" customFormat="1">
      <c r="A73" s="345" t="s">
        <v>597</v>
      </c>
      <c r="B73" s="346"/>
      <c r="C73" s="347"/>
      <c r="D73" s="303"/>
      <c r="E73" s="348"/>
      <c r="F73" s="349"/>
      <c r="G73" s="112"/>
    </row>
    <row r="74" spans="1:7" s="302" customFormat="1">
      <c r="A74" s="288" t="s">
        <v>792</v>
      </c>
      <c r="B74" s="346"/>
      <c r="C74" s="347"/>
      <c r="D74" s="303"/>
      <c r="E74" s="348"/>
      <c r="F74" s="349"/>
      <c r="G74" s="112"/>
    </row>
    <row r="75" spans="1:7" s="302" customFormat="1">
      <c r="A75" s="288" t="s">
        <v>793</v>
      </c>
      <c r="B75" s="346"/>
      <c r="C75" s="347"/>
      <c r="D75" s="303"/>
      <c r="E75" s="348"/>
      <c r="F75" s="349"/>
      <c r="G75" s="112"/>
    </row>
    <row r="76" spans="1:7" s="302" customFormat="1">
      <c r="A76" s="288" t="s">
        <v>794</v>
      </c>
      <c r="B76" s="346"/>
      <c r="C76" s="347"/>
      <c r="D76" s="303"/>
      <c r="E76" s="348"/>
      <c r="F76" s="349"/>
      <c r="G76" s="112"/>
    </row>
    <row r="77" spans="1:7" s="302" customFormat="1">
      <c r="A77" s="342"/>
      <c r="B77" s="342" t="s">
        <v>20</v>
      </c>
      <c r="C77" s="342"/>
      <c r="D77" s="342"/>
      <c r="E77" s="342"/>
      <c r="F77" s="342"/>
      <c r="G77" s="342"/>
    </row>
    <row r="78" spans="1:7" s="302" customFormat="1">
      <c r="A78" s="351"/>
      <c r="B78" s="351"/>
      <c r="C78" s="351"/>
      <c r="D78" s="351"/>
      <c r="E78" s="351"/>
      <c r="F78" s="351"/>
      <c r="G78" s="351"/>
    </row>
    <row r="79" spans="1:7" s="302" customFormat="1">
      <c r="A79" s="351"/>
      <c r="B79" s="351"/>
      <c r="C79" s="351"/>
      <c r="D79" s="351"/>
      <c r="E79" s="351"/>
      <c r="F79" s="351"/>
      <c r="G79" s="351"/>
    </row>
    <row r="80" spans="1:7" s="302" customFormat="1">
      <c r="A80" s="351"/>
      <c r="B80" s="351"/>
      <c r="C80" s="351"/>
      <c r="D80" s="351"/>
      <c r="E80" s="351"/>
      <c r="F80" s="351"/>
      <c r="G80" s="351"/>
    </row>
    <row r="81" spans="1:7" s="302" customFormat="1">
      <c r="A81" s="351"/>
      <c r="B81" s="351"/>
      <c r="C81" s="351"/>
      <c r="D81" s="351"/>
      <c r="E81" s="351"/>
      <c r="F81" s="351"/>
      <c r="G81" s="351"/>
    </row>
    <row r="82" spans="1:7" s="302" customFormat="1">
      <c r="A82" s="351"/>
      <c r="B82" s="351"/>
      <c r="C82" s="351"/>
      <c r="D82" s="351"/>
      <c r="E82" s="351"/>
      <c r="F82" s="351"/>
      <c r="G82" s="351"/>
    </row>
    <row r="83" spans="1:7" s="302" customFormat="1">
      <c r="A83" s="351"/>
      <c r="B83" s="351"/>
      <c r="C83" s="351"/>
      <c r="D83" s="351"/>
      <c r="E83" s="351"/>
      <c r="F83" s="351"/>
      <c r="G83" s="351"/>
    </row>
    <row r="84" spans="1:7" s="302" customFormat="1">
      <c r="A84" s="351"/>
      <c r="B84" s="351"/>
      <c r="C84" s="351"/>
      <c r="D84" s="351"/>
      <c r="E84" s="351"/>
      <c r="F84" s="351"/>
      <c r="G84" s="351"/>
    </row>
    <row r="85" spans="1:7" s="302" customFormat="1">
      <c r="A85" s="351"/>
      <c r="B85" s="351"/>
      <c r="C85" s="351"/>
      <c r="D85" s="351"/>
      <c r="E85" s="351"/>
      <c r="F85" s="351"/>
      <c r="G85" s="351"/>
    </row>
    <row r="86" spans="1:7" s="302" customFormat="1">
      <c r="A86" s="351"/>
      <c r="B86" s="351"/>
      <c r="C86" s="351"/>
      <c r="D86" s="351"/>
      <c r="E86" s="351"/>
      <c r="F86" s="351"/>
      <c r="G86" s="351"/>
    </row>
    <row r="87" spans="1:7" s="302" customFormat="1">
      <c r="A87" s="351"/>
      <c r="B87" s="351"/>
      <c r="C87" s="351"/>
      <c r="D87" s="351"/>
      <c r="E87" s="351"/>
      <c r="F87" s="351"/>
      <c r="G87" s="351"/>
    </row>
    <row r="88" spans="1:7" s="302" customFormat="1">
      <c r="A88" s="351"/>
      <c r="B88" s="351"/>
      <c r="C88" s="351"/>
      <c r="D88" s="351"/>
      <c r="E88" s="351"/>
      <c r="F88" s="351"/>
      <c r="G88" s="351"/>
    </row>
    <row r="89" spans="1:7" s="302" customFormat="1">
      <c r="A89" s="351"/>
      <c r="B89" s="351"/>
      <c r="C89" s="351"/>
      <c r="D89" s="351"/>
      <c r="E89" s="351"/>
      <c r="F89" s="351"/>
      <c r="G89" s="351"/>
    </row>
    <row r="90" spans="1:7" s="302" customFormat="1">
      <c r="A90" s="351"/>
      <c r="B90" s="351"/>
      <c r="C90" s="351"/>
      <c r="D90" s="351"/>
      <c r="E90" s="351"/>
      <c r="F90" s="351"/>
      <c r="G90" s="351"/>
    </row>
    <row r="91" spans="1:7" s="302" customFormat="1">
      <c r="A91" s="351"/>
      <c r="B91" s="351"/>
      <c r="C91" s="351"/>
      <c r="D91" s="351"/>
      <c r="E91" s="351"/>
      <c r="F91" s="351"/>
      <c r="G91" s="351"/>
    </row>
    <row r="92" spans="1:7" s="302" customFormat="1">
      <c r="A92" s="342"/>
      <c r="B92" s="352" t="s">
        <v>2418</v>
      </c>
      <c r="C92" s="352"/>
      <c r="D92" s="352"/>
      <c r="E92" s="352"/>
      <c r="F92" s="352"/>
      <c r="G92" s="352"/>
    </row>
    <row r="93" spans="1:7" s="302" customFormat="1">
      <c r="A93" s="342"/>
      <c r="B93" s="353"/>
      <c r="C93" s="353"/>
      <c r="D93" s="353"/>
      <c r="E93" s="353"/>
      <c r="F93" s="353"/>
      <c r="G93" s="353"/>
    </row>
    <row r="94" spans="1:7" s="302" customFormat="1">
      <c r="A94" s="342"/>
      <c r="B94" s="352" t="s">
        <v>22</v>
      </c>
      <c r="C94" s="352"/>
      <c r="D94" s="352"/>
      <c r="E94" s="352"/>
      <c r="F94" s="352"/>
      <c r="G94" s="352"/>
    </row>
    <row r="95" spans="1:7" s="302" customFormat="1">
      <c r="A95" s="342"/>
      <c r="B95" s="353"/>
      <c r="C95" s="353"/>
      <c r="D95" s="353"/>
      <c r="E95" s="353"/>
      <c r="F95" s="353"/>
      <c r="G95" s="353"/>
    </row>
    <row r="96" spans="1:7" s="302" customFormat="1">
      <c r="A96" s="342"/>
      <c r="B96" s="352" t="s">
        <v>23</v>
      </c>
      <c r="C96" s="352"/>
      <c r="D96" s="352"/>
      <c r="E96" s="352"/>
      <c r="F96" s="352"/>
      <c r="G96" s="352"/>
    </row>
    <row r="97" spans="1:7" s="302" customFormat="1">
      <c r="A97" s="342"/>
      <c r="B97" s="352" t="s">
        <v>24</v>
      </c>
      <c r="C97" s="352"/>
      <c r="D97" s="352"/>
      <c r="E97" s="352"/>
      <c r="F97" s="352"/>
      <c r="G97" s="352"/>
    </row>
    <row r="98" spans="1:7" s="303" customFormat="1">
      <c r="A98" s="346"/>
      <c r="B98" s="346"/>
      <c r="E98" s="333"/>
    </row>
  </sheetData>
  <mergeCells count="50">
    <mergeCell ref="A1:J1"/>
    <mergeCell ref="A21:A24"/>
    <mergeCell ref="B16:C16"/>
    <mergeCell ref="B18:C18"/>
    <mergeCell ref="B15:C15"/>
    <mergeCell ref="F9:F10"/>
    <mergeCell ref="B21:C21"/>
    <mergeCell ref="B19:C19"/>
    <mergeCell ref="B22:C23"/>
    <mergeCell ref="D6:E6"/>
    <mergeCell ref="A11:A20"/>
    <mergeCell ref="A7:A10"/>
    <mergeCell ref="B7:C7"/>
    <mergeCell ref="B8:C9"/>
    <mergeCell ref="F50:F51"/>
    <mergeCell ref="B44:C45"/>
    <mergeCell ref="F30:F31"/>
    <mergeCell ref="F27:F28"/>
    <mergeCell ref="A2:J2"/>
    <mergeCell ref="A3:J3"/>
    <mergeCell ref="A4:J4"/>
    <mergeCell ref="B6:C6"/>
    <mergeCell ref="G6:H6"/>
    <mergeCell ref="I6:J6"/>
    <mergeCell ref="A37:A42"/>
    <mergeCell ref="B37:C38"/>
    <mergeCell ref="B30:C30"/>
    <mergeCell ref="B11:C11"/>
    <mergeCell ref="B12:C14"/>
    <mergeCell ref="B17:C17"/>
    <mergeCell ref="A58:A61"/>
    <mergeCell ref="B58:C58"/>
    <mergeCell ref="B59:C60"/>
    <mergeCell ref="A29:A31"/>
    <mergeCell ref="A43:A46"/>
    <mergeCell ref="A32:A36"/>
    <mergeCell ref="B32:C34"/>
    <mergeCell ref="B35:C35"/>
    <mergeCell ref="A25:A28"/>
    <mergeCell ref="B43:C43"/>
    <mergeCell ref="A52:A57"/>
    <mergeCell ref="B52:C52"/>
    <mergeCell ref="B54:C54"/>
    <mergeCell ref="B47:C48"/>
    <mergeCell ref="B49:C50"/>
    <mergeCell ref="A47:A51"/>
    <mergeCell ref="B25:C25"/>
    <mergeCell ref="B26:C27"/>
    <mergeCell ref="B29:C29"/>
    <mergeCell ref="B39:C40"/>
  </mergeCells>
  <phoneticPr fontId="4" type="noConversion"/>
  <pageMargins left="0.7" right="0.7" top="0.75" bottom="0.75" header="0.3" footer="0.3"/>
  <pageSetup paperSize="9" scale="80" orientation="portrait" r:id="rId1"/>
</worksheet>
</file>

<file path=xl/worksheets/sheet48.xml><?xml version="1.0" encoding="utf-8"?>
<worksheet xmlns="http://schemas.openxmlformats.org/spreadsheetml/2006/main" xmlns:r="http://schemas.openxmlformats.org/officeDocument/2006/relationships">
  <dimension ref="A1:J120"/>
  <sheetViews>
    <sheetView workbookViewId="0">
      <selection sqref="A1:J1"/>
    </sheetView>
  </sheetViews>
  <sheetFormatPr defaultColWidth="9" defaultRowHeight="15.75"/>
  <cols>
    <col min="1" max="1" width="6.7109375" style="520" customWidth="1"/>
    <col min="2" max="2" width="5.85546875" style="520" customWidth="1"/>
    <col min="3" max="3" width="14.28515625" style="520" customWidth="1"/>
    <col min="4" max="4" width="7" style="520" customWidth="1"/>
    <col min="5" max="5" width="5.28515625" style="520" customWidth="1"/>
    <col min="6" max="6" width="35.42578125" style="520" customWidth="1"/>
    <col min="7" max="7" width="6.85546875" style="520" customWidth="1"/>
    <col min="8" max="8" width="7.28515625" style="520" customWidth="1"/>
    <col min="9" max="9" width="6.42578125" style="520" customWidth="1"/>
    <col min="10" max="10" width="7.140625" style="520" customWidth="1"/>
    <col min="11" max="16384" width="9" style="520"/>
  </cols>
  <sheetData>
    <row r="1" spans="1:10">
      <c r="A1" s="1371" t="s">
        <v>446</v>
      </c>
      <c r="B1" s="1371"/>
      <c r="C1" s="1371"/>
      <c r="D1" s="1371"/>
      <c r="E1" s="1371"/>
      <c r="F1" s="1371"/>
      <c r="G1" s="1371"/>
      <c r="H1" s="1371"/>
      <c r="I1" s="1371"/>
      <c r="J1" s="1371"/>
    </row>
    <row r="2" spans="1:10" ht="34.5" customHeight="1">
      <c r="A2" s="1406" t="s">
        <v>447</v>
      </c>
      <c r="B2" s="1406"/>
      <c r="C2" s="1406"/>
      <c r="D2" s="1406"/>
      <c r="E2" s="1406"/>
      <c r="F2" s="1406"/>
      <c r="G2" s="1406"/>
      <c r="H2" s="1406"/>
      <c r="I2" s="1406"/>
      <c r="J2" s="1406"/>
    </row>
    <row r="3" spans="1:10">
      <c r="A3" s="1371" t="s">
        <v>448</v>
      </c>
      <c r="B3" s="1371"/>
      <c r="C3" s="1371"/>
      <c r="D3" s="1371"/>
      <c r="E3" s="1371"/>
      <c r="F3" s="1371"/>
      <c r="G3" s="1371"/>
      <c r="H3" s="1371"/>
      <c r="I3" s="1371"/>
      <c r="J3" s="1371"/>
    </row>
    <row r="4" spans="1:10">
      <c r="A4" s="1371" t="s">
        <v>449</v>
      </c>
      <c r="B4" s="1371"/>
      <c r="C4" s="1371"/>
      <c r="D4" s="1371"/>
      <c r="E4" s="1371"/>
      <c r="F4" s="1371"/>
      <c r="G4" s="1371"/>
      <c r="H4" s="1371"/>
      <c r="I4" s="1371"/>
      <c r="J4" s="1371"/>
    </row>
    <row r="5" spans="1:10" ht="11.25" customHeight="1">
      <c r="A5" s="391"/>
      <c r="B5" s="391"/>
    </row>
    <row r="6" spans="1:10" ht="98.25" customHeight="1">
      <c r="A6" s="420" t="s">
        <v>434</v>
      </c>
      <c r="B6" s="1360" t="s">
        <v>1048</v>
      </c>
      <c r="C6" s="1360"/>
      <c r="D6" s="1360" t="s">
        <v>1246</v>
      </c>
      <c r="E6" s="1360"/>
      <c r="F6" s="420" t="s">
        <v>452</v>
      </c>
      <c r="G6" s="1360" t="s">
        <v>1247</v>
      </c>
      <c r="H6" s="1360"/>
      <c r="I6" s="1360" t="s">
        <v>1248</v>
      </c>
      <c r="J6" s="1360"/>
    </row>
    <row r="7" spans="1:10" ht="68.25" customHeight="1">
      <c r="A7" s="1355" t="s">
        <v>454</v>
      </c>
      <c r="B7" s="1361" t="s">
        <v>455</v>
      </c>
      <c r="C7" s="1362"/>
      <c r="D7" s="422"/>
      <c r="E7" s="423"/>
      <c r="F7" s="521" t="s">
        <v>456</v>
      </c>
      <c r="G7" s="424" t="s">
        <v>1249</v>
      </c>
      <c r="H7" s="425">
        <v>0.3</v>
      </c>
      <c r="I7" s="426" t="s">
        <v>914</v>
      </c>
      <c r="J7" s="427">
        <v>0.5</v>
      </c>
    </row>
    <row r="8" spans="1:10" ht="19.5" customHeight="1">
      <c r="A8" s="1356"/>
      <c r="B8" s="1363" t="s">
        <v>1250</v>
      </c>
      <c r="C8" s="1364"/>
      <c r="D8" s="429" t="s">
        <v>1251</v>
      </c>
      <c r="E8" s="430">
        <v>0.06</v>
      </c>
      <c r="F8" s="521" t="s">
        <v>457</v>
      </c>
      <c r="G8" s="431" t="s">
        <v>1252</v>
      </c>
      <c r="H8" s="432">
        <v>0.2</v>
      </c>
      <c r="I8" s="433" t="s">
        <v>915</v>
      </c>
      <c r="J8" s="434">
        <v>0.75</v>
      </c>
    </row>
    <row r="9" spans="1:10" ht="47.25" customHeight="1">
      <c r="A9" s="1356"/>
      <c r="B9" s="1363"/>
      <c r="C9" s="1364"/>
      <c r="D9" s="429"/>
      <c r="E9" s="430"/>
      <c r="F9" s="1365" t="s">
        <v>458</v>
      </c>
      <c r="G9" s="436" t="s">
        <v>1253</v>
      </c>
      <c r="H9" s="437">
        <v>0.5</v>
      </c>
      <c r="I9" s="438" t="s">
        <v>916</v>
      </c>
      <c r="J9" s="439">
        <v>0.75</v>
      </c>
    </row>
    <row r="10" spans="1:10" ht="21" customHeight="1">
      <c r="A10" s="1357"/>
      <c r="B10" s="440" t="s">
        <v>1254</v>
      </c>
      <c r="C10" s="441">
        <f>E8*(H7*J7+H8*J8+H9*J9)</f>
        <v>4.0500000000000001E-2</v>
      </c>
      <c r="D10" s="522"/>
      <c r="E10" s="443"/>
      <c r="F10" s="1366"/>
      <c r="G10" s="444"/>
      <c r="H10" s="443"/>
      <c r="I10" s="450"/>
      <c r="J10" s="523"/>
    </row>
    <row r="11" spans="1:10" ht="62.25" customHeight="1">
      <c r="A11" s="1355" t="s">
        <v>459</v>
      </c>
      <c r="B11" s="1379" t="s">
        <v>435</v>
      </c>
      <c r="C11" s="1362"/>
      <c r="D11" s="524"/>
      <c r="E11" s="525"/>
      <c r="F11" s="521" t="s">
        <v>460</v>
      </c>
      <c r="G11" s="455" t="s">
        <v>1255</v>
      </c>
      <c r="H11" s="425">
        <v>0.11</v>
      </c>
      <c r="I11" s="426" t="s">
        <v>917</v>
      </c>
      <c r="J11" s="526">
        <v>1</v>
      </c>
    </row>
    <row r="12" spans="1:10" ht="48" customHeight="1">
      <c r="A12" s="1356"/>
      <c r="B12" s="1407" t="s">
        <v>1333</v>
      </c>
      <c r="C12" s="1364"/>
      <c r="D12" s="527"/>
      <c r="E12" s="528"/>
      <c r="F12" s="521" t="s">
        <v>461</v>
      </c>
      <c r="G12" s="455" t="s">
        <v>1257</v>
      </c>
      <c r="H12" s="425">
        <v>0.11</v>
      </c>
      <c r="I12" s="529" t="s">
        <v>918</v>
      </c>
      <c r="J12" s="530">
        <v>1</v>
      </c>
    </row>
    <row r="13" spans="1:10" ht="37.5" customHeight="1">
      <c r="A13" s="1356"/>
      <c r="B13" s="1407"/>
      <c r="C13" s="1364"/>
      <c r="D13" s="527"/>
      <c r="E13" s="528"/>
      <c r="F13" s="521" t="s">
        <v>462</v>
      </c>
      <c r="G13" s="455" t="s">
        <v>1258</v>
      </c>
      <c r="H13" s="425">
        <v>0.19</v>
      </c>
      <c r="I13" s="529" t="s">
        <v>919</v>
      </c>
      <c r="J13" s="530">
        <v>0.25</v>
      </c>
    </row>
    <row r="14" spans="1:10" ht="37.5" customHeight="1">
      <c r="A14" s="1356"/>
      <c r="B14" s="1407"/>
      <c r="C14" s="1364"/>
      <c r="D14" s="457" t="s">
        <v>1260</v>
      </c>
      <c r="E14" s="458">
        <v>7.0000000000000007E-2</v>
      </c>
      <c r="F14" s="521" t="s">
        <v>463</v>
      </c>
      <c r="G14" s="455" t="s">
        <v>1259</v>
      </c>
      <c r="H14" s="425">
        <v>0.14000000000000001</v>
      </c>
      <c r="I14" s="529" t="s">
        <v>920</v>
      </c>
      <c r="J14" s="530">
        <v>1</v>
      </c>
    </row>
    <row r="15" spans="1:10" ht="51.75" customHeight="1">
      <c r="A15" s="1356"/>
      <c r="B15" s="452"/>
      <c r="C15" s="428"/>
      <c r="D15" s="457"/>
      <c r="E15" s="458"/>
      <c r="F15" s="521" t="s">
        <v>464</v>
      </c>
      <c r="G15" s="455" t="s">
        <v>1261</v>
      </c>
      <c r="H15" s="425">
        <v>0.13</v>
      </c>
      <c r="I15" s="529" t="s">
        <v>921</v>
      </c>
      <c r="J15" s="530">
        <v>0.75</v>
      </c>
    </row>
    <row r="16" spans="1:10" ht="38.25" customHeight="1">
      <c r="A16" s="1356"/>
      <c r="B16" s="1380"/>
      <c r="C16" s="1381"/>
      <c r="D16" s="527"/>
      <c r="E16" s="528"/>
      <c r="F16" s="521" t="s">
        <v>465</v>
      </c>
      <c r="G16" s="455" t="s">
        <v>1262</v>
      </c>
      <c r="H16" s="425">
        <v>0.1</v>
      </c>
      <c r="I16" s="529" t="s">
        <v>922</v>
      </c>
      <c r="J16" s="530">
        <v>0.75</v>
      </c>
    </row>
    <row r="17" spans="1:10" ht="20.25" customHeight="1">
      <c r="A17" s="1356"/>
      <c r="B17" s="1380"/>
      <c r="C17" s="1381"/>
      <c r="D17" s="527"/>
      <c r="E17" s="528"/>
      <c r="F17" s="521" t="s">
        <v>466</v>
      </c>
      <c r="G17" s="455" t="s">
        <v>1263</v>
      </c>
      <c r="H17" s="425">
        <v>0.08</v>
      </c>
      <c r="I17" s="529" t="s">
        <v>923</v>
      </c>
      <c r="J17" s="530">
        <v>0.5</v>
      </c>
    </row>
    <row r="18" spans="1:10" ht="20.25" customHeight="1">
      <c r="A18" s="1356"/>
      <c r="B18" s="1380"/>
      <c r="C18" s="1381"/>
      <c r="D18" s="527"/>
      <c r="E18" s="528"/>
      <c r="F18" s="521" t="s">
        <v>467</v>
      </c>
      <c r="G18" s="455" t="s">
        <v>1264</v>
      </c>
      <c r="H18" s="425">
        <v>0.06</v>
      </c>
      <c r="I18" s="529" t="s">
        <v>924</v>
      </c>
      <c r="J18" s="530">
        <v>0.75</v>
      </c>
    </row>
    <row r="19" spans="1:10" ht="20.25" customHeight="1">
      <c r="A19" s="1356"/>
      <c r="B19" s="1380"/>
      <c r="C19" s="1381"/>
      <c r="D19" s="527"/>
      <c r="E19" s="528"/>
      <c r="F19" s="521" t="s">
        <v>468</v>
      </c>
      <c r="G19" s="455" t="s">
        <v>1265</v>
      </c>
      <c r="H19" s="425">
        <v>0.03</v>
      </c>
      <c r="I19" s="529" t="s">
        <v>925</v>
      </c>
      <c r="J19" s="530">
        <v>0.5</v>
      </c>
    </row>
    <row r="20" spans="1:10" ht="37.5" customHeight="1">
      <c r="A20" s="1357"/>
      <c r="B20" s="459" t="s">
        <v>1266</v>
      </c>
      <c r="C20" s="460">
        <f>E14*(H11*J11+H12*J12+H13*J13+H14*J14+H15*J15+H16*J16+H17*J17+H18*J18+H19*J19+H20*J20)</f>
        <v>4.8475000000000011E-2</v>
      </c>
      <c r="D20" s="531"/>
      <c r="E20" s="532"/>
      <c r="F20" s="521" t="s">
        <v>469</v>
      </c>
      <c r="G20" s="455" t="s">
        <v>1267</v>
      </c>
      <c r="H20" s="425">
        <v>0.05</v>
      </c>
      <c r="I20" s="529" t="s">
        <v>926</v>
      </c>
      <c r="J20" s="530">
        <v>0.25</v>
      </c>
    </row>
    <row r="21" spans="1:10" s="509" customFormat="1" ht="212.25" customHeight="1">
      <c r="A21" s="1372" t="s">
        <v>470</v>
      </c>
      <c r="B21" s="1373" t="s">
        <v>1268</v>
      </c>
      <c r="C21" s="1416"/>
      <c r="D21" s="463" t="s">
        <v>1269</v>
      </c>
      <c r="E21" s="464">
        <v>7.0000000000000007E-2</v>
      </c>
      <c r="F21" s="533" t="s">
        <v>87</v>
      </c>
      <c r="G21" s="455" t="s">
        <v>1270</v>
      </c>
      <c r="H21" s="425">
        <v>0.37</v>
      </c>
      <c r="I21" s="426" t="s">
        <v>927</v>
      </c>
      <c r="J21" s="456">
        <v>1</v>
      </c>
    </row>
    <row r="22" spans="1:10" s="59" customFormat="1" ht="36" customHeight="1">
      <c r="A22" s="1372"/>
      <c r="B22" s="1377" t="s">
        <v>1271</v>
      </c>
      <c r="C22" s="1378"/>
      <c r="D22" s="534"/>
      <c r="E22" s="535"/>
      <c r="F22" s="521" t="s">
        <v>472</v>
      </c>
      <c r="G22" s="455" t="s">
        <v>1272</v>
      </c>
      <c r="H22" s="425">
        <v>0.18</v>
      </c>
      <c r="I22" s="426" t="s">
        <v>928</v>
      </c>
      <c r="J22" s="456">
        <v>0.75</v>
      </c>
    </row>
    <row r="23" spans="1:10" s="59" customFormat="1" ht="50.25" customHeight="1">
      <c r="A23" s="1372"/>
      <c r="B23" s="1377"/>
      <c r="C23" s="1378"/>
      <c r="D23" s="453"/>
      <c r="E23" s="454"/>
      <c r="F23" s="521" t="s">
        <v>84</v>
      </c>
      <c r="G23" s="455" t="s">
        <v>1273</v>
      </c>
      <c r="H23" s="425">
        <v>0.27</v>
      </c>
      <c r="I23" s="426" t="s">
        <v>929</v>
      </c>
      <c r="J23" s="456">
        <v>1</v>
      </c>
    </row>
    <row r="24" spans="1:10" s="59" customFormat="1" ht="40.5" customHeight="1">
      <c r="A24" s="1372"/>
      <c r="B24" s="440" t="s">
        <v>1274</v>
      </c>
      <c r="C24" s="441">
        <f>E21*(H21*J21+H22*J22+H23*J23+H24*J24)</f>
        <v>6.3700000000000007E-2</v>
      </c>
      <c r="D24" s="461"/>
      <c r="E24" s="462"/>
      <c r="F24" s="521" t="s">
        <v>85</v>
      </c>
      <c r="G24" s="455" t="s">
        <v>1275</v>
      </c>
      <c r="H24" s="425">
        <v>0.18</v>
      </c>
      <c r="I24" s="426" t="s">
        <v>930</v>
      </c>
      <c r="J24" s="456">
        <v>0.75</v>
      </c>
    </row>
    <row r="25" spans="1:10" s="59" customFormat="1" ht="38.25" customHeight="1">
      <c r="A25" s="1355" t="s">
        <v>473</v>
      </c>
      <c r="B25" s="1361" t="s">
        <v>1276</v>
      </c>
      <c r="C25" s="1362"/>
      <c r="D25" s="447"/>
      <c r="E25" s="448"/>
      <c r="F25" s="521" t="s">
        <v>474</v>
      </c>
      <c r="G25" s="455" t="s">
        <v>1277</v>
      </c>
      <c r="H25" s="425">
        <v>0.28000000000000003</v>
      </c>
      <c r="I25" s="426" t="s">
        <v>931</v>
      </c>
      <c r="J25" s="456">
        <v>0.5</v>
      </c>
    </row>
    <row r="26" spans="1:10" s="59" customFormat="1" ht="37.5" customHeight="1">
      <c r="A26" s="1356"/>
      <c r="B26" s="1414" t="s">
        <v>1334</v>
      </c>
      <c r="C26" s="1415"/>
      <c r="D26" s="467" t="s">
        <v>1279</v>
      </c>
      <c r="E26" s="430">
        <v>0.03</v>
      </c>
      <c r="F26" s="435" t="s">
        <v>465</v>
      </c>
      <c r="G26" s="455" t="s">
        <v>1280</v>
      </c>
      <c r="H26" s="425">
        <v>0.44</v>
      </c>
      <c r="I26" s="426" t="s">
        <v>933</v>
      </c>
      <c r="J26" s="456">
        <v>0.5</v>
      </c>
    </row>
    <row r="27" spans="1:10" s="59" customFormat="1" ht="21.75" customHeight="1">
      <c r="A27" s="1356"/>
      <c r="B27" s="1414"/>
      <c r="C27" s="1415"/>
      <c r="D27" s="453"/>
      <c r="E27" s="454"/>
      <c r="F27" s="1405" t="s">
        <v>475</v>
      </c>
      <c r="G27" s="470" t="s">
        <v>1281</v>
      </c>
      <c r="H27" s="471">
        <v>0.28000000000000003</v>
      </c>
      <c r="I27" s="537" t="s">
        <v>935</v>
      </c>
      <c r="J27" s="538">
        <v>0.75</v>
      </c>
    </row>
    <row r="28" spans="1:10" s="59" customFormat="1" ht="22.5" customHeight="1">
      <c r="A28" s="1356"/>
      <c r="B28" s="474" t="s">
        <v>1282</v>
      </c>
      <c r="C28" s="539">
        <f>E26*(H25*J25+H26*J26+H27*J27)</f>
        <v>1.7100000000000001E-2</v>
      </c>
      <c r="D28" s="461"/>
      <c r="E28" s="462"/>
      <c r="F28" s="1390"/>
      <c r="G28" s="540"/>
      <c r="H28" s="541"/>
      <c r="I28" s="477"/>
      <c r="J28" s="542"/>
    </row>
    <row r="29" spans="1:10" s="59" customFormat="1" ht="37.5" hidden="1" customHeight="1">
      <c r="A29" s="1419" t="s">
        <v>476</v>
      </c>
      <c r="B29" s="1417" t="s">
        <v>477</v>
      </c>
      <c r="C29" s="1418"/>
      <c r="D29" s="447"/>
      <c r="E29" s="448"/>
      <c r="F29" s="41" t="s">
        <v>478</v>
      </c>
      <c r="G29" s="455" t="s">
        <v>1283</v>
      </c>
      <c r="H29" s="425">
        <v>0.5</v>
      </c>
      <c r="I29" s="543" t="s">
        <v>936</v>
      </c>
      <c r="J29" s="544"/>
    </row>
    <row r="30" spans="1:10" s="59" customFormat="1" ht="48.75" hidden="1" customHeight="1">
      <c r="A30" s="1420"/>
      <c r="B30" s="1422" t="s">
        <v>350</v>
      </c>
      <c r="C30" s="1423"/>
      <c r="D30" s="467" t="s">
        <v>1285</v>
      </c>
      <c r="E30" s="430">
        <v>0.08</v>
      </c>
      <c r="F30" s="545" t="s">
        <v>479</v>
      </c>
      <c r="G30" s="429" t="s">
        <v>1286</v>
      </c>
      <c r="H30" s="430">
        <v>0.5</v>
      </c>
      <c r="I30" s="546" t="s">
        <v>937</v>
      </c>
      <c r="J30" s="547"/>
    </row>
    <row r="31" spans="1:10" s="59" customFormat="1" ht="21.75" hidden="1" customHeight="1">
      <c r="A31" s="1421"/>
      <c r="B31" s="548" t="s">
        <v>965</v>
      </c>
      <c r="C31" s="549">
        <f>E30*(H29*J29+H30*J30)</f>
        <v>0</v>
      </c>
      <c r="D31" s="461"/>
      <c r="E31" s="462"/>
      <c r="F31" s="550"/>
      <c r="G31" s="449"/>
      <c r="H31" s="641"/>
      <c r="I31" s="551"/>
      <c r="J31" s="552"/>
    </row>
    <row r="32" spans="1:10" s="59" customFormat="1" ht="85.5" customHeight="1">
      <c r="A32" s="1355" t="s">
        <v>476</v>
      </c>
      <c r="B32" s="1361" t="s">
        <v>480</v>
      </c>
      <c r="C32" s="1362"/>
      <c r="D32" s="453"/>
      <c r="E32" s="505"/>
      <c r="F32" s="521" t="s">
        <v>481</v>
      </c>
      <c r="G32" s="553" t="s">
        <v>1283</v>
      </c>
      <c r="H32" s="641">
        <v>0.4</v>
      </c>
      <c r="I32" s="554" t="s">
        <v>936</v>
      </c>
      <c r="J32" s="451">
        <v>0.5</v>
      </c>
    </row>
    <row r="33" spans="1:10" s="59" customFormat="1" ht="61.5" customHeight="1">
      <c r="A33" s="1356"/>
      <c r="B33" s="1385" t="s">
        <v>1284</v>
      </c>
      <c r="C33" s="1386"/>
      <c r="D33" s="457" t="s">
        <v>1285</v>
      </c>
      <c r="E33" s="458">
        <v>0.1</v>
      </c>
      <c r="F33" s="1390" t="s">
        <v>482</v>
      </c>
      <c r="G33" s="555" t="s">
        <v>1286</v>
      </c>
      <c r="H33" s="507">
        <v>0.6</v>
      </c>
      <c r="I33" s="556" t="s">
        <v>937</v>
      </c>
      <c r="J33" s="482">
        <v>0.75</v>
      </c>
    </row>
    <row r="34" spans="1:10" s="59" customFormat="1" ht="40.5" customHeight="1">
      <c r="A34" s="1357"/>
      <c r="B34" s="440" t="s">
        <v>1287</v>
      </c>
      <c r="C34" s="441">
        <f>E33*(H32*J32+H33*J33)</f>
        <v>6.4999999999999988E-2</v>
      </c>
      <c r="D34" s="557"/>
      <c r="E34" s="541"/>
      <c r="F34" s="1366"/>
      <c r="G34" s="449"/>
      <c r="H34" s="641"/>
      <c r="I34" s="554"/>
      <c r="J34" s="451"/>
    </row>
    <row r="35" spans="1:10" s="59" customFormat="1" ht="100.5" customHeight="1">
      <c r="A35" s="1355" t="s">
        <v>483</v>
      </c>
      <c r="B35" s="1361" t="s">
        <v>484</v>
      </c>
      <c r="C35" s="1362"/>
      <c r="D35" s="467"/>
      <c r="E35" s="430"/>
      <c r="F35" s="521" t="s">
        <v>339</v>
      </c>
      <c r="G35" s="449" t="s">
        <v>1288</v>
      </c>
      <c r="H35" s="641">
        <v>0.33</v>
      </c>
      <c r="I35" s="554" t="s">
        <v>938</v>
      </c>
      <c r="J35" s="451">
        <v>0.75</v>
      </c>
    </row>
    <row r="36" spans="1:10" s="59" customFormat="1" ht="114.75" customHeight="1">
      <c r="A36" s="1356"/>
      <c r="B36" s="1385" t="s">
        <v>1292</v>
      </c>
      <c r="C36" s="1386"/>
      <c r="D36" s="467" t="s">
        <v>1289</v>
      </c>
      <c r="E36" s="430">
        <v>0.1</v>
      </c>
      <c r="F36" s="483" t="s">
        <v>485</v>
      </c>
      <c r="G36" s="449" t="s">
        <v>1290</v>
      </c>
      <c r="H36" s="641">
        <v>0.33</v>
      </c>
      <c r="I36" s="554" t="s">
        <v>939</v>
      </c>
      <c r="J36" s="451">
        <v>1</v>
      </c>
    </row>
    <row r="37" spans="1:10" s="59" customFormat="1" ht="115.5" customHeight="1">
      <c r="A37" s="1357"/>
      <c r="B37" s="558" t="s">
        <v>1293</v>
      </c>
      <c r="C37" s="539">
        <f>E36*(H35*J35+H36*J36+H37*J37)</f>
        <v>9.1749999999999998E-2</v>
      </c>
      <c r="D37" s="457"/>
      <c r="E37" s="458"/>
      <c r="F37" s="483" t="s">
        <v>486</v>
      </c>
      <c r="G37" s="449" t="s">
        <v>1291</v>
      </c>
      <c r="H37" s="641">
        <v>0.34</v>
      </c>
      <c r="I37" s="554" t="s">
        <v>940</v>
      </c>
      <c r="J37" s="451">
        <v>1</v>
      </c>
    </row>
    <row r="38" spans="1:10" s="59" customFormat="1" ht="40.5" customHeight="1">
      <c r="A38" s="1355" t="s">
        <v>487</v>
      </c>
      <c r="B38" s="1361" t="s">
        <v>488</v>
      </c>
      <c r="C38" s="1362"/>
      <c r="D38" s="447"/>
      <c r="E38" s="448"/>
      <c r="F38" s="521" t="s">
        <v>489</v>
      </c>
      <c r="G38" s="455" t="s">
        <v>1294</v>
      </c>
      <c r="H38" s="425">
        <v>0.33</v>
      </c>
      <c r="I38" s="529" t="s">
        <v>941</v>
      </c>
      <c r="J38" s="427">
        <v>0.5</v>
      </c>
    </row>
    <row r="39" spans="1:10" s="59" customFormat="1" ht="36" customHeight="1">
      <c r="A39" s="1356"/>
      <c r="B39" s="1375"/>
      <c r="C39" s="1376"/>
      <c r="D39" s="487" t="s">
        <v>1298</v>
      </c>
      <c r="E39" s="437">
        <v>0.09</v>
      </c>
      <c r="F39" s="521" t="s">
        <v>340</v>
      </c>
      <c r="G39" s="455" t="s">
        <v>1295</v>
      </c>
      <c r="H39" s="425">
        <v>0.33</v>
      </c>
      <c r="I39" s="529" t="s">
        <v>942</v>
      </c>
      <c r="J39" s="427">
        <v>0.5</v>
      </c>
    </row>
    <row r="40" spans="1:10" s="59" customFormat="1" ht="57.75" customHeight="1">
      <c r="A40" s="1356"/>
      <c r="B40" s="1375"/>
      <c r="C40" s="1376"/>
      <c r="D40" s="453"/>
      <c r="E40" s="454"/>
      <c r="F40" s="469" t="s">
        <v>490</v>
      </c>
      <c r="G40" s="429" t="s">
        <v>1297</v>
      </c>
      <c r="H40" s="430">
        <v>0.34</v>
      </c>
      <c r="I40" s="559" t="s">
        <v>943</v>
      </c>
      <c r="J40" s="560">
        <v>0.75</v>
      </c>
    </row>
    <row r="41" spans="1:10" s="59" customFormat="1" ht="49.5" customHeight="1">
      <c r="A41" s="1356"/>
      <c r="B41" s="1385" t="s">
        <v>1335</v>
      </c>
      <c r="C41" s="1386"/>
      <c r="D41" s="453"/>
      <c r="E41" s="454"/>
      <c r="F41" s="561"/>
      <c r="G41" s="453"/>
      <c r="H41" s="490"/>
      <c r="I41" s="489"/>
      <c r="J41" s="500"/>
    </row>
    <row r="42" spans="1:10" s="59" customFormat="1" ht="18.75">
      <c r="A42" s="1357"/>
      <c r="B42" s="562" t="s">
        <v>1336</v>
      </c>
      <c r="C42" s="563">
        <f>E39*(H38*J38+H39*J39+H40*J40)</f>
        <v>5.2649999999999995E-2</v>
      </c>
      <c r="D42" s="461"/>
      <c r="E42" s="462"/>
      <c r="F42" s="564"/>
      <c r="G42" s="461"/>
      <c r="H42" s="496"/>
      <c r="I42" s="495"/>
      <c r="J42" s="523"/>
    </row>
    <row r="43" spans="1:10" s="59" customFormat="1" ht="51" customHeight="1">
      <c r="A43" s="1355" t="s">
        <v>491</v>
      </c>
      <c r="B43" s="1361" t="s">
        <v>341</v>
      </c>
      <c r="C43" s="1362"/>
      <c r="D43" s="447"/>
      <c r="E43" s="448"/>
      <c r="F43" s="521" t="s">
        <v>342</v>
      </c>
      <c r="G43" s="498" t="s">
        <v>1299</v>
      </c>
      <c r="H43" s="425">
        <v>0.21</v>
      </c>
      <c r="I43" s="426" t="s">
        <v>944</v>
      </c>
      <c r="J43" s="427">
        <v>0.75</v>
      </c>
    </row>
    <row r="44" spans="1:10" s="59" customFormat="1" ht="51" customHeight="1">
      <c r="A44" s="1356"/>
      <c r="B44" s="1375"/>
      <c r="C44" s="1376"/>
      <c r="D44" s="453"/>
      <c r="E44" s="454"/>
      <c r="F44" s="521" t="s">
        <v>343</v>
      </c>
      <c r="G44" s="498" t="s">
        <v>1300</v>
      </c>
      <c r="H44" s="425">
        <v>0.21</v>
      </c>
      <c r="I44" s="426" t="s">
        <v>945</v>
      </c>
      <c r="J44" s="427">
        <v>0.5</v>
      </c>
    </row>
    <row r="45" spans="1:10" s="59" customFormat="1" ht="49.5" customHeight="1">
      <c r="A45" s="1356"/>
      <c r="B45" s="1377" t="s">
        <v>1337</v>
      </c>
      <c r="C45" s="1378"/>
      <c r="D45" s="487" t="s">
        <v>1305</v>
      </c>
      <c r="E45" s="437">
        <v>0.12</v>
      </c>
      <c r="F45" s="521" t="s">
        <v>344</v>
      </c>
      <c r="G45" s="498" t="s">
        <v>1302</v>
      </c>
      <c r="H45" s="425">
        <v>0.21</v>
      </c>
      <c r="I45" s="426" t="s">
        <v>946</v>
      </c>
      <c r="J45" s="427">
        <v>0.5</v>
      </c>
    </row>
    <row r="46" spans="1:10" s="59" customFormat="1" ht="65.25" customHeight="1">
      <c r="A46" s="1356"/>
      <c r="B46" s="1377"/>
      <c r="C46" s="1378"/>
      <c r="D46" s="457"/>
      <c r="E46" s="458"/>
      <c r="F46" s="521" t="s">
        <v>496</v>
      </c>
      <c r="G46" s="498" t="s">
        <v>1303</v>
      </c>
      <c r="H46" s="425">
        <v>0.1</v>
      </c>
      <c r="I46" s="426" t="s">
        <v>947</v>
      </c>
      <c r="J46" s="427">
        <v>0.75</v>
      </c>
    </row>
    <row r="47" spans="1:10" s="59" customFormat="1" ht="59.25" customHeight="1">
      <c r="A47" s="1356"/>
      <c r="B47" s="465"/>
      <c r="C47" s="466"/>
      <c r="D47" s="457"/>
      <c r="E47" s="458"/>
      <c r="F47" s="521" t="s">
        <v>497</v>
      </c>
      <c r="G47" s="498" t="s">
        <v>1306</v>
      </c>
      <c r="H47" s="425">
        <v>0.1</v>
      </c>
      <c r="I47" s="426" t="s">
        <v>948</v>
      </c>
      <c r="J47" s="427">
        <v>1</v>
      </c>
    </row>
    <row r="48" spans="1:10" s="59" customFormat="1" ht="49.5" customHeight="1">
      <c r="A48" s="1357"/>
      <c r="B48" s="501" t="s">
        <v>1308</v>
      </c>
      <c r="C48" s="460">
        <f>E45*(H43*J43+H44*J44+H45*J45+H46*J46+H47*J47+H48*J48)</f>
        <v>8.5499999999999993E-2</v>
      </c>
      <c r="D48" s="461"/>
      <c r="E48" s="462"/>
      <c r="F48" s="521" t="s">
        <v>498</v>
      </c>
      <c r="G48" s="498" t="s">
        <v>1307</v>
      </c>
      <c r="H48" s="425">
        <v>0.17</v>
      </c>
      <c r="I48" s="426" t="s">
        <v>949</v>
      </c>
      <c r="J48" s="427">
        <v>1</v>
      </c>
    </row>
    <row r="49" spans="1:10" s="59" customFormat="1" ht="51.75" customHeight="1">
      <c r="A49" s="1372" t="s">
        <v>499</v>
      </c>
      <c r="B49" s="1361" t="s">
        <v>500</v>
      </c>
      <c r="C49" s="1362"/>
      <c r="D49" s="447"/>
      <c r="E49" s="448"/>
      <c r="F49" s="521" t="s">
        <v>501</v>
      </c>
      <c r="G49" s="498" t="s">
        <v>1309</v>
      </c>
      <c r="H49" s="425">
        <v>0.3</v>
      </c>
      <c r="I49" s="426" t="s">
        <v>950</v>
      </c>
      <c r="J49" s="427">
        <v>0.75</v>
      </c>
    </row>
    <row r="50" spans="1:10" s="59" customFormat="1" ht="37.5" customHeight="1">
      <c r="A50" s="1372"/>
      <c r="B50" s="1385" t="s">
        <v>1338</v>
      </c>
      <c r="C50" s="1386"/>
      <c r="D50" s="487"/>
      <c r="E50" s="437"/>
      <c r="F50" s="521" t="s">
        <v>502</v>
      </c>
      <c r="G50" s="498" t="s">
        <v>1310</v>
      </c>
      <c r="H50" s="425">
        <v>0.1</v>
      </c>
      <c r="I50" s="426" t="s">
        <v>951</v>
      </c>
      <c r="J50" s="427">
        <v>0.5</v>
      </c>
    </row>
    <row r="51" spans="1:10" s="59" customFormat="1" ht="36.75" customHeight="1">
      <c r="A51" s="1372"/>
      <c r="B51" s="1385"/>
      <c r="C51" s="1386"/>
      <c r="D51" s="467" t="s">
        <v>1311</v>
      </c>
      <c r="E51" s="565">
        <v>0.06</v>
      </c>
      <c r="F51" s="521" t="s">
        <v>351</v>
      </c>
      <c r="G51" s="498" t="s">
        <v>1312</v>
      </c>
      <c r="H51" s="425">
        <v>0.14000000000000001</v>
      </c>
      <c r="I51" s="426" t="s">
        <v>952</v>
      </c>
      <c r="J51" s="427">
        <v>0.75</v>
      </c>
    </row>
    <row r="52" spans="1:10" s="59" customFormat="1" ht="52.5" customHeight="1">
      <c r="A52" s="1372"/>
      <c r="B52" s="479"/>
      <c r="C52" s="480"/>
      <c r="D52" s="487"/>
      <c r="E52" s="566"/>
      <c r="F52" s="521" t="s">
        <v>86</v>
      </c>
      <c r="G52" s="498" t="s">
        <v>1314</v>
      </c>
      <c r="H52" s="425">
        <v>0.21</v>
      </c>
      <c r="I52" s="426" t="s">
        <v>953</v>
      </c>
      <c r="J52" s="427">
        <v>0.75</v>
      </c>
    </row>
    <row r="53" spans="1:10" s="59" customFormat="1" ht="34.5" customHeight="1">
      <c r="A53" s="1372"/>
      <c r="B53" s="440" t="s">
        <v>1316</v>
      </c>
      <c r="C53" s="441">
        <f>E51*(H49*J49+H50*J50+H51*J51+H52*J52+H53*J53)</f>
        <v>4.725E-2</v>
      </c>
      <c r="D53" s="453"/>
      <c r="E53" s="535"/>
      <c r="F53" s="521" t="s">
        <v>503</v>
      </c>
      <c r="G53" s="498" t="s">
        <v>1315</v>
      </c>
      <c r="H53" s="425">
        <v>0.25</v>
      </c>
      <c r="I53" s="426" t="s">
        <v>954</v>
      </c>
      <c r="J53" s="427">
        <v>1</v>
      </c>
    </row>
    <row r="54" spans="1:10" s="59" customFormat="1" ht="86.25" customHeight="1">
      <c r="A54" s="1382" t="s">
        <v>504</v>
      </c>
      <c r="B54" s="1361" t="s">
        <v>88</v>
      </c>
      <c r="C54" s="1362"/>
      <c r="D54" s="502"/>
      <c r="E54" s="502"/>
      <c r="F54" s="521" t="s">
        <v>345</v>
      </c>
      <c r="G54" s="498" t="s">
        <v>1317</v>
      </c>
      <c r="H54" s="425">
        <v>0.32</v>
      </c>
      <c r="I54" s="426" t="s">
        <v>955</v>
      </c>
      <c r="J54" s="427">
        <v>0.5</v>
      </c>
    </row>
    <row r="55" spans="1:10" s="59" customFormat="1" ht="36.75" customHeight="1">
      <c r="A55" s="1383"/>
      <c r="B55" s="1385" t="s">
        <v>1339</v>
      </c>
      <c r="C55" s="1386"/>
      <c r="D55" s="505"/>
      <c r="E55" s="505"/>
      <c r="F55" s="521" t="s">
        <v>506</v>
      </c>
      <c r="G55" s="498" t="s">
        <v>1318</v>
      </c>
      <c r="H55" s="425">
        <v>0.26</v>
      </c>
      <c r="I55" s="426" t="s">
        <v>956</v>
      </c>
      <c r="J55" s="427">
        <v>0.5</v>
      </c>
    </row>
    <row r="56" spans="1:10" s="59" customFormat="1" ht="18.75">
      <c r="A56" s="1383"/>
      <c r="B56" s="1385"/>
      <c r="C56" s="1386"/>
      <c r="D56" s="567" t="s">
        <v>1321</v>
      </c>
      <c r="E56" s="568">
        <v>0.05</v>
      </c>
      <c r="F56" s="521" t="s">
        <v>507</v>
      </c>
      <c r="G56" s="498" t="s">
        <v>1320</v>
      </c>
      <c r="H56" s="425">
        <v>0.24</v>
      </c>
      <c r="I56" s="426" t="s">
        <v>957</v>
      </c>
      <c r="J56" s="427">
        <v>0.5</v>
      </c>
    </row>
    <row r="57" spans="1:10" s="59" customFormat="1" ht="23.25" customHeight="1">
      <c r="A57" s="1383"/>
      <c r="B57" s="1385"/>
      <c r="C57" s="1386"/>
      <c r="D57" s="567"/>
      <c r="E57" s="568"/>
      <c r="F57" s="1365" t="s">
        <v>508</v>
      </c>
      <c r="G57" s="506" t="s">
        <v>1322</v>
      </c>
      <c r="H57" s="507">
        <v>0.18</v>
      </c>
      <c r="I57" s="481" t="s">
        <v>958</v>
      </c>
      <c r="J57" s="482">
        <v>0.75</v>
      </c>
    </row>
    <row r="58" spans="1:10" s="59" customFormat="1" ht="17.25">
      <c r="A58" s="1384"/>
      <c r="B58" s="493" t="s">
        <v>1324</v>
      </c>
      <c r="C58" s="508">
        <f>E56*(H54*J54+H55*J55+H56*J56+H57*J57)</f>
        <v>2.7250000000000003E-2</v>
      </c>
      <c r="D58" s="461"/>
      <c r="E58" s="496"/>
      <c r="F58" s="1366"/>
      <c r="G58" s="467"/>
      <c r="H58" s="430"/>
      <c r="I58" s="569"/>
      <c r="J58" s="560"/>
    </row>
    <row r="59" spans="1:10" s="59" customFormat="1" ht="68.25" customHeight="1">
      <c r="A59" s="1372" t="s">
        <v>509</v>
      </c>
      <c r="B59" s="1361" t="s">
        <v>510</v>
      </c>
      <c r="C59" s="1362"/>
      <c r="D59" s="447"/>
      <c r="E59" s="448"/>
      <c r="F59" s="521" t="s">
        <v>511</v>
      </c>
      <c r="G59" s="506" t="s">
        <v>1323</v>
      </c>
      <c r="H59" s="507">
        <v>0.14000000000000001</v>
      </c>
      <c r="I59" s="481" t="s">
        <v>959</v>
      </c>
      <c r="J59" s="482">
        <v>0.75</v>
      </c>
    </row>
    <row r="60" spans="1:10" s="59" customFormat="1" ht="20.25" customHeight="1">
      <c r="A60" s="1372"/>
      <c r="B60" s="388"/>
      <c r="C60" s="486"/>
      <c r="D60" s="453"/>
      <c r="E60" s="454"/>
      <c r="F60" s="521" t="s">
        <v>512</v>
      </c>
      <c r="G60" s="506" t="s">
        <v>1325</v>
      </c>
      <c r="H60" s="507">
        <v>0.17</v>
      </c>
      <c r="I60" s="481" t="s">
        <v>960</v>
      </c>
      <c r="J60" s="482">
        <v>1</v>
      </c>
    </row>
    <row r="61" spans="1:10" s="59" customFormat="1" ht="51.75" customHeight="1">
      <c r="A61" s="1372"/>
      <c r="B61" s="388"/>
      <c r="C61" s="486"/>
      <c r="D61" s="453"/>
      <c r="E61" s="454"/>
      <c r="F61" s="521" t="s">
        <v>513</v>
      </c>
      <c r="G61" s="506" t="s">
        <v>1326</v>
      </c>
      <c r="H61" s="507">
        <v>0.12</v>
      </c>
      <c r="I61" s="481" t="s">
        <v>961</v>
      </c>
      <c r="J61" s="482">
        <v>0.25</v>
      </c>
    </row>
    <row r="62" spans="1:10" s="59" customFormat="1" ht="55.5" customHeight="1">
      <c r="A62" s="1372"/>
      <c r="B62" s="1403" t="s">
        <v>1340</v>
      </c>
      <c r="C62" s="1404"/>
      <c r="D62" s="467" t="s">
        <v>1329</v>
      </c>
      <c r="E62" s="430">
        <v>0.09</v>
      </c>
      <c r="F62" s="521" t="s">
        <v>514</v>
      </c>
      <c r="G62" s="506" t="s">
        <v>1328</v>
      </c>
      <c r="H62" s="507">
        <v>0.12</v>
      </c>
      <c r="I62" s="481" t="s">
        <v>962</v>
      </c>
      <c r="J62" s="482">
        <v>0.75</v>
      </c>
    </row>
    <row r="63" spans="1:10" s="59" customFormat="1" ht="102" customHeight="1">
      <c r="A63" s="1372"/>
      <c r="B63" s="1403"/>
      <c r="C63" s="1404"/>
      <c r="D63" s="487"/>
      <c r="E63" s="437"/>
      <c r="F63" s="521" t="s">
        <v>346</v>
      </c>
      <c r="G63" s="506" t="s">
        <v>1330</v>
      </c>
      <c r="H63" s="507">
        <v>0.12</v>
      </c>
      <c r="I63" s="481" t="s">
        <v>963</v>
      </c>
      <c r="J63" s="482">
        <v>0.75</v>
      </c>
    </row>
    <row r="64" spans="1:10" s="59" customFormat="1" ht="100.5" customHeight="1">
      <c r="A64" s="1372"/>
      <c r="B64" s="465"/>
      <c r="C64" s="466"/>
      <c r="D64" s="570"/>
      <c r="E64" s="571"/>
      <c r="F64" s="521" t="s">
        <v>0</v>
      </c>
      <c r="G64" s="506" t="s">
        <v>1332</v>
      </c>
      <c r="H64" s="507">
        <v>0.12</v>
      </c>
      <c r="I64" s="481" t="s">
        <v>964</v>
      </c>
      <c r="J64" s="482">
        <v>0.75</v>
      </c>
    </row>
    <row r="65" spans="1:10" s="59" customFormat="1" ht="83.25" customHeight="1">
      <c r="A65" s="1372"/>
      <c r="B65" s="465"/>
      <c r="C65" s="466"/>
      <c r="D65" s="463"/>
      <c r="E65" s="464"/>
      <c r="F65" s="521" t="s">
        <v>1</v>
      </c>
      <c r="G65" s="506" t="s">
        <v>1341</v>
      </c>
      <c r="H65" s="507">
        <v>0.09</v>
      </c>
      <c r="I65" s="481" t="s">
        <v>966</v>
      </c>
      <c r="J65" s="482">
        <v>1</v>
      </c>
    </row>
    <row r="66" spans="1:10" s="59" customFormat="1" ht="83.25" customHeight="1">
      <c r="A66" s="1372"/>
      <c r="B66" s="465"/>
      <c r="C66" s="466"/>
      <c r="D66" s="567"/>
      <c r="E66" s="437"/>
      <c r="F66" s="521" t="s">
        <v>2</v>
      </c>
      <c r="G66" s="506" t="s">
        <v>1342</v>
      </c>
      <c r="H66" s="507">
        <v>0.06</v>
      </c>
      <c r="I66" s="481" t="s">
        <v>967</v>
      </c>
      <c r="J66" s="482">
        <v>1</v>
      </c>
    </row>
    <row r="67" spans="1:10" s="59" customFormat="1" ht="98.25" customHeight="1">
      <c r="A67" s="1372"/>
      <c r="B67" s="493" t="s">
        <v>1331</v>
      </c>
      <c r="C67" s="494">
        <f>E62*(H59*J59+H60*J60+H61*J61+H62*J62+H63*J63+H64*J64+H65*J65+H66*J66+H67*J67)</f>
        <v>7.0649999999999991E-2</v>
      </c>
      <c r="D67" s="557"/>
      <c r="E67" s="572"/>
      <c r="F67" s="521" t="s">
        <v>347</v>
      </c>
      <c r="G67" s="498" t="s">
        <v>1343</v>
      </c>
      <c r="H67" s="425">
        <v>0.06</v>
      </c>
      <c r="I67" s="426" t="s">
        <v>968</v>
      </c>
      <c r="J67" s="427">
        <v>1</v>
      </c>
    </row>
    <row r="68" spans="1:10" s="59" customFormat="1" ht="35.25" customHeight="1">
      <c r="A68" s="1355" t="s">
        <v>3</v>
      </c>
      <c r="B68" s="1411" t="s">
        <v>4</v>
      </c>
      <c r="C68" s="1412"/>
      <c r="D68" s="573"/>
      <c r="E68" s="574"/>
      <c r="F68" s="521" t="s">
        <v>5</v>
      </c>
      <c r="G68" s="498" t="s">
        <v>1344</v>
      </c>
      <c r="H68" s="425">
        <v>0.2</v>
      </c>
      <c r="I68" s="426" t="s">
        <v>969</v>
      </c>
      <c r="J68" s="427">
        <v>1</v>
      </c>
    </row>
    <row r="69" spans="1:10" s="59" customFormat="1" ht="50.25" customHeight="1">
      <c r="A69" s="1356"/>
      <c r="B69" s="575"/>
      <c r="C69" s="576"/>
      <c r="D69" s="577"/>
      <c r="E69" s="578"/>
      <c r="F69" s="435" t="s">
        <v>6</v>
      </c>
      <c r="G69" s="498" t="s">
        <v>1345</v>
      </c>
      <c r="H69" s="425">
        <v>0.2</v>
      </c>
      <c r="I69" s="426" t="s">
        <v>970</v>
      </c>
      <c r="J69" s="427">
        <v>1</v>
      </c>
    </row>
    <row r="70" spans="1:10" s="59" customFormat="1" ht="52.5" customHeight="1">
      <c r="A70" s="1356"/>
      <c r="B70" s="1377" t="s">
        <v>1346</v>
      </c>
      <c r="C70" s="1378"/>
      <c r="D70" s="567" t="s">
        <v>1347</v>
      </c>
      <c r="E70" s="568">
        <v>7.0000000000000007E-2</v>
      </c>
      <c r="F70" s="521" t="s">
        <v>7</v>
      </c>
      <c r="G70" s="512" t="s">
        <v>1348</v>
      </c>
      <c r="H70" s="425">
        <v>0.15</v>
      </c>
      <c r="I70" s="426" t="s">
        <v>971</v>
      </c>
      <c r="J70" s="427">
        <v>1</v>
      </c>
    </row>
    <row r="71" spans="1:10" s="59" customFormat="1" ht="54" customHeight="1">
      <c r="A71" s="1356"/>
      <c r="B71" s="1377"/>
      <c r="C71" s="1378"/>
      <c r="D71" s="577"/>
      <c r="E71" s="578"/>
      <c r="F71" s="521" t="s">
        <v>348</v>
      </c>
      <c r="G71" s="512" t="s">
        <v>1349</v>
      </c>
      <c r="H71" s="425">
        <v>0.25</v>
      </c>
      <c r="I71" s="426" t="s">
        <v>972</v>
      </c>
      <c r="J71" s="427">
        <v>1</v>
      </c>
    </row>
    <row r="72" spans="1:10" s="59" customFormat="1" ht="52.5" customHeight="1">
      <c r="A72" s="1357"/>
      <c r="B72" s="440" t="s">
        <v>1350</v>
      </c>
      <c r="C72" s="441">
        <f>E70*(H68*J68+H69*J69+H70*J70+H71*J71+H72*J72)</f>
        <v>7.0000000000000007E-2</v>
      </c>
      <c r="D72" s="579"/>
      <c r="E72" s="580"/>
      <c r="F72" s="521" t="s">
        <v>8</v>
      </c>
      <c r="G72" s="512" t="s">
        <v>1351</v>
      </c>
      <c r="H72" s="425">
        <v>0.2</v>
      </c>
      <c r="I72" s="426" t="s">
        <v>973</v>
      </c>
      <c r="J72" s="427">
        <v>1</v>
      </c>
    </row>
    <row r="73" spans="1:10" s="59" customFormat="1" ht="51" customHeight="1">
      <c r="A73" s="1355" t="s">
        <v>9</v>
      </c>
      <c r="B73" s="1361" t="s">
        <v>1352</v>
      </c>
      <c r="C73" s="1362"/>
      <c r="D73" s="573"/>
      <c r="E73" s="574"/>
      <c r="F73" s="521" t="s">
        <v>10</v>
      </c>
      <c r="G73" s="512" t="s">
        <v>1353</v>
      </c>
      <c r="H73" s="425">
        <v>0.08</v>
      </c>
      <c r="I73" s="426" t="s">
        <v>974</v>
      </c>
      <c r="J73" s="427">
        <v>1</v>
      </c>
    </row>
    <row r="74" spans="1:10" s="59" customFormat="1" ht="67.5" customHeight="1">
      <c r="A74" s="1356"/>
      <c r="B74" s="1413"/>
      <c r="C74" s="1400"/>
      <c r="D74" s="577"/>
      <c r="E74" s="578"/>
      <c r="F74" s="521" t="s">
        <v>11</v>
      </c>
      <c r="G74" s="512" t="s">
        <v>1354</v>
      </c>
      <c r="H74" s="425">
        <v>0.09</v>
      </c>
      <c r="I74" s="426" t="s">
        <v>975</v>
      </c>
      <c r="J74" s="427">
        <v>1</v>
      </c>
    </row>
    <row r="75" spans="1:10" s="59" customFormat="1" ht="82.5" customHeight="1">
      <c r="A75" s="1356"/>
      <c r="B75" s="1377" t="s">
        <v>1355</v>
      </c>
      <c r="C75" s="1378"/>
      <c r="D75" s="577"/>
      <c r="E75" s="578"/>
      <c r="F75" s="521" t="s">
        <v>12</v>
      </c>
      <c r="G75" s="512" t="s">
        <v>1356</v>
      </c>
      <c r="H75" s="425">
        <v>0.18</v>
      </c>
      <c r="I75" s="426" t="s">
        <v>976</v>
      </c>
      <c r="J75" s="427">
        <v>1</v>
      </c>
    </row>
    <row r="76" spans="1:10" s="59" customFormat="1" ht="18" customHeight="1">
      <c r="A76" s="1356"/>
      <c r="B76" s="1377"/>
      <c r="C76" s="1378"/>
      <c r="D76" s="577"/>
      <c r="E76" s="578"/>
      <c r="F76" s="521" t="s">
        <v>13</v>
      </c>
      <c r="G76" s="512" t="s">
        <v>1357</v>
      </c>
      <c r="H76" s="425">
        <v>0.09</v>
      </c>
      <c r="I76" s="426" t="s">
        <v>977</v>
      </c>
      <c r="J76" s="427">
        <v>1</v>
      </c>
    </row>
    <row r="77" spans="1:10" s="59" customFormat="1" ht="99" customHeight="1">
      <c r="A77" s="1356"/>
      <c r="B77" s="575"/>
      <c r="C77" s="576"/>
      <c r="D77" s="579" t="s">
        <v>1358</v>
      </c>
      <c r="E77" s="476">
        <v>0.06</v>
      </c>
      <c r="F77" s="521" t="s">
        <v>14</v>
      </c>
      <c r="G77" s="512" t="s">
        <v>1359</v>
      </c>
      <c r="H77" s="425">
        <v>0.2</v>
      </c>
      <c r="I77" s="426" t="s">
        <v>978</v>
      </c>
      <c r="J77" s="427">
        <v>1</v>
      </c>
    </row>
    <row r="78" spans="1:10" s="59" customFormat="1" ht="53.25" customHeight="1">
      <c r="A78" s="1356"/>
      <c r="B78" s="575"/>
      <c r="C78" s="576"/>
      <c r="D78" s="577"/>
      <c r="E78" s="578"/>
      <c r="F78" s="521" t="s">
        <v>548</v>
      </c>
      <c r="G78" s="512" t="s">
        <v>1360</v>
      </c>
      <c r="H78" s="425">
        <v>0.16</v>
      </c>
      <c r="I78" s="426" t="s">
        <v>979</v>
      </c>
      <c r="J78" s="427">
        <v>1</v>
      </c>
    </row>
    <row r="79" spans="1:10" s="59" customFormat="1" ht="68.25" customHeight="1">
      <c r="A79" s="1357"/>
      <c r="B79" s="440" t="s">
        <v>1361</v>
      </c>
      <c r="C79" s="441">
        <f>E77*(H73*J73+H74*J74+H75*J75+H76*J76+H77*J77+H78*J78+H79*J79)</f>
        <v>0.06</v>
      </c>
      <c r="D79" s="579"/>
      <c r="E79" s="580"/>
      <c r="F79" s="521" t="s">
        <v>15</v>
      </c>
      <c r="G79" s="512" t="s">
        <v>1362</v>
      </c>
      <c r="H79" s="425">
        <v>0.2</v>
      </c>
      <c r="I79" s="426" t="s">
        <v>980</v>
      </c>
      <c r="J79" s="427">
        <v>1</v>
      </c>
    </row>
    <row r="80" spans="1:10" s="59" customFormat="1" ht="68.25" customHeight="1">
      <c r="A80" s="1355" t="s">
        <v>16</v>
      </c>
      <c r="B80" s="1379" t="s">
        <v>1363</v>
      </c>
      <c r="C80" s="1379"/>
      <c r="D80" s="581"/>
      <c r="E80" s="574"/>
      <c r="F80" s="521" t="s">
        <v>18</v>
      </c>
      <c r="G80" s="512" t="s">
        <v>1364</v>
      </c>
      <c r="H80" s="425">
        <v>0.5</v>
      </c>
      <c r="I80" s="426" t="s">
        <v>981</v>
      </c>
      <c r="J80" s="427">
        <v>1</v>
      </c>
    </row>
    <row r="81" spans="1:10" s="59" customFormat="1" ht="46.5" customHeight="1">
      <c r="A81" s="1356"/>
      <c r="B81" s="1410" t="s">
        <v>1365</v>
      </c>
      <c r="C81" s="1410"/>
      <c r="D81" s="457" t="s">
        <v>1366</v>
      </c>
      <c r="E81" s="471">
        <v>0.03</v>
      </c>
      <c r="F81" s="521" t="s">
        <v>19</v>
      </c>
      <c r="G81" s="512" t="s">
        <v>1367</v>
      </c>
      <c r="H81" s="425">
        <v>0.33</v>
      </c>
      <c r="I81" s="426" t="s">
        <v>982</v>
      </c>
      <c r="J81" s="427">
        <v>1</v>
      </c>
    </row>
    <row r="82" spans="1:10" s="59" customFormat="1" ht="36" customHeight="1">
      <c r="A82" s="1357"/>
      <c r="B82" s="582" t="s">
        <v>1368</v>
      </c>
      <c r="C82" s="583">
        <f>E81*(H80*J80+H81*J81+H82*J82)</f>
        <v>0.03</v>
      </c>
      <c r="D82" s="557"/>
      <c r="E82" s="580"/>
      <c r="F82" s="521" t="s">
        <v>349</v>
      </c>
      <c r="G82" s="512" t="s">
        <v>1369</v>
      </c>
      <c r="H82" s="425">
        <v>0.17</v>
      </c>
      <c r="I82" s="426" t="s">
        <v>983</v>
      </c>
      <c r="J82" s="427">
        <v>1</v>
      </c>
    </row>
    <row r="83" spans="1:10" ht="6.75" customHeight="1">
      <c r="A83" s="584"/>
      <c r="B83" s="585"/>
      <c r="C83" s="586"/>
    </row>
    <row r="84" spans="1:10" ht="19.5" customHeight="1">
      <c r="A84" s="513"/>
      <c r="B84" s="514" t="s">
        <v>769</v>
      </c>
      <c r="C84" s="587">
        <f>SUM(C10,C20,C24,C28,C34,C37,C42,C48,C53,C58,C67,C72,C79,C82)</f>
        <v>0.76982499999999998</v>
      </c>
      <c r="D84" s="588"/>
      <c r="E84" s="589"/>
      <c r="F84" s="589"/>
      <c r="G84" s="589"/>
      <c r="H84" s="589"/>
      <c r="I84" s="589"/>
      <c r="J84" s="589"/>
    </row>
    <row r="85" spans="1:10" s="59" customFormat="1" ht="19.5" customHeight="1">
      <c r="A85" s="513"/>
      <c r="B85" s="516"/>
      <c r="C85" s="517" t="s">
        <v>444</v>
      </c>
      <c r="D85" s="516"/>
      <c r="E85" s="518"/>
      <c r="F85" s="519" t="str">
        <f>IF(C84&lt;=0.5,"низький",IF(C84&lt;=0.75,"середній",(IF(C84&lt;=0.95,"достатній",(IF(C84&lt;=1,"високий"))))))</f>
        <v>достатній</v>
      </c>
      <c r="G85" s="516"/>
      <c r="H85" s="516"/>
      <c r="I85" s="516"/>
      <c r="J85" s="516"/>
    </row>
    <row r="86" spans="1:10" s="302" customFormat="1">
      <c r="A86" s="288" t="s">
        <v>182</v>
      </c>
      <c r="B86" s="289"/>
      <c r="C86" s="342"/>
      <c r="E86" s="343"/>
      <c r="F86" s="344"/>
      <c r="G86" s="112"/>
    </row>
    <row r="87" spans="1:10" s="302" customFormat="1" ht="17.25">
      <c r="A87" s="345" t="s">
        <v>589</v>
      </c>
      <c r="B87" s="346"/>
      <c r="C87" s="347"/>
      <c r="D87" s="303"/>
      <c r="E87" s="348"/>
      <c r="F87" s="349"/>
      <c r="G87" s="112"/>
    </row>
    <row r="88" spans="1:10" s="302" customFormat="1" ht="17.25">
      <c r="A88" s="345" t="s">
        <v>590</v>
      </c>
      <c r="B88" s="346"/>
      <c r="C88" s="347"/>
      <c r="D88" s="303"/>
      <c r="E88" s="348"/>
      <c r="F88" s="349"/>
      <c r="G88" s="112"/>
    </row>
    <row r="89" spans="1:10" s="302" customFormat="1" ht="17.25">
      <c r="A89" s="345" t="s">
        <v>591</v>
      </c>
      <c r="B89" s="346"/>
      <c r="C89" s="347"/>
      <c r="D89" s="303"/>
      <c r="E89" s="348"/>
      <c r="F89" s="349"/>
      <c r="G89" s="112"/>
    </row>
    <row r="90" spans="1:10" s="302" customFormat="1" ht="17.25">
      <c r="A90" s="345" t="s">
        <v>592</v>
      </c>
      <c r="B90" s="346"/>
      <c r="C90" s="347"/>
      <c r="D90" s="303"/>
      <c r="E90" s="348"/>
      <c r="F90" s="349"/>
      <c r="G90" s="112"/>
    </row>
    <row r="91" spans="1:10" s="302" customFormat="1" ht="17.25">
      <c r="A91" s="345" t="s">
        <v>593</v>
      </c>
      <c r="B91" s="346"/>
      <c r="C91" s="347"/>
      <c r="D91" s="303"/>
      <c r="E91" s="348"/>
      <c r="F91" s="349"/>
      <c r="G91" s="112"/>
    </row>
    <row r="92" spans="1:10" s="302" customFormat="1" ht="17.25">
      <c r="A92" s="345" t="s">
        <v>594</v>
      </c>
      <c r="B92" s="346"/>
      <c r="C92" s="347"/>
      <c r="D92" s="303"/>
      <c r="E92" s="348"/>
      <c r="F92" s="349"/>
      <c r="G92" s="112"/>
    </row>
    <row r="93" spans="1:10" s="302" customFormat="1" ht="17.25">
      <c r="A93" s="345" t="s">
        <v>595</v>
      </c>
      <c r="B93" s="346"/>
      <c r="C93" s="347"/>
      <c r="D93" s="303"/>
      <c r="E93" s="348"/>
      <c r="F93" s="349"/>
      <c r="G93" s="112"/>
    </row>
    <row r="94" spans="1:10" s="302" customFormat="1">
      <c r="A94" s="350" t="s">
        <v>596</v>
      </c>
      <c r="B94" s="346"/>
      <c r="C94" s="347"/>
      <c r="D94" s="303"/>
      <c r="E94" s="348"/>
      <c r="F94" s="349"/>
      <c r="G94" s="112"/>
    </row>
    <row r="95" spans="1:10" s="302" customFormat="1">
      <c r="A95" s="345" t="s">
        <v>597</v>
      </c>
      <c r="B95" s="346"/>
      <c r="C95" s="347"/>
      <c r="D95" s="303"/>
      <c r="E95" s="348"/>
      <c r="F95" s="349"/>
      <c r="G95" s="112"/>
    </row>
    <row r="96" spans="1:10" s="302" customFormat="1">
      <c r="A96" s="288" t="s">
        <v>792</v>
      </c>
      <c r="B96" s="346"/>
      <c r="C96" s="347"/>
      <c r="D96" s="303"/>
      <c r="E96" s="348"/>
      <c r="F96" s="349"/>
      <c r="G96" s="112"/>
    </row>
    <row r="97" spans="1:7" s="302" customFormat="1">
      <c r="A97" s="288" t="s">
        <v>793</v>
      </c>
      <c r="B97" s="346"/>
      <c r="C97" s="347"/>
      <c r="D97" s="303"/>
      <c r="E97" s="348"/>
      <c r="F97" s="349"/>
      <c r="G97" s="112"/>
    </row>
    <row r="98" spans="1:7" s="302" customFormat="1">
      <c r="A98" s="288" t="s">
        <v>794</v>
      </c>
      <c r="B98" s="346"/>
      <c r="C98" s="347"/>
      <c r="D98" s="303"/>
      <c r="E98" s="348"/>
      <c r="F98" s="349"/>
      <c r="G98" s="112"/>
    </row>
    <row r="99" spans="1:7" s="302" customFormat="1">
      <c r="A99" s="342"/>
      <c r="B99" s="342" t="s">
        <v>20</v>
      </c>
      <c r="C99" s="342"/>
      <c r="D99" s="342"/>
      <c r="E99" s="342"/>
      <c r="F99" s="342"/>
      <c r="G99" s="342"/>
    </row>
    <row r="100" spans="1:7" s="302" customFormat="1">
      <c r="A100" s="351"/>
      <c r="B100" s="351"/>
      <c r="C100" s="351"/>
      <c r="D100" s="351"/>
      <c r="E100" s="351"/>
      <c r="F100" s="351"/>
      <c r="G100" s="351"/>
    </row>
    <row r="101" spans="1:7" s="302" customFormat="1">
      <c r="A101" s="351"/>
      <c r="B101" s="351"/>
      <c r="C101" s="351"/>
      <c r="D101" s="351"/>
      <c r="E101" s="351"/>
      <c r="F101" s="351"/>
      <c r="G101" s="351"/>
    </row>
    <row r="102" spans="1:7" s="302" customFormat="1">
      <c r="A102" s="351"/>
      <c r="B102" s="351"/>
      <c r="C102" s="351"/>
      <c r="D102" s="351"/>
      <c r="E102" s="351"/>
      <c r="F102" s="351"/>
      <c r="G102" s="351"/>
    </row>
    <row r="103" spans="1:7" s="302" customFormat="1">
      <c r="A103" s="351"/>
      <c r="B103" s="351"/>
      <c r="C103" s="351"/>
      <c r="D103" s="351"/>
      <c r="E103" s="351"/>
      <c r="F103" s="351"/>
      <c r="G103" s="351"/>
    </row>
    <row r="104" spans="1:7" s="302" customFormat="1">
      <c r="A104" s="351"/>
      <c r="B104" s="351"/>
      <c r="C104" s="351"/>
      <c r="D104" s="351"/>
      <c r="E104" s="351"/>
      <c r="F104" s="351"/>
      <c r="G104" s="351"/>
    </row>
    <row r="105" spans="1:7" s="302" customFormat="1">
      <c r="A105" s="351"/>
      <c r="B105" s="351"/>
      <c r="C105" s="351"/>
      <c r="D105" s="351"/>
      <c r="E105" s="351"/>
      <c r="F105" s="351"/>
      <c r="G105" s="351"/>
    </row>
    <row r="106" spans="1:7" s="302" customFormat="1">
      <c r="A106" s="351"/>
      <c r="B106" s="351"/>
      <c r="C106" s="351"/>
      <c r="D106" s="351"/>
      <c r="E106" s="351"/>
      <c r="F106" s="351"/>
      <c r="G106" s="351"/>
    </row>
    <row r="107" spans="1:7" s="302" customFormat="1">
      <c r="A107" s="351"/>
      <c r="B107" s="351"/>
      <c r="C107" s="351"/>
      <c r="D107" s="351"/>
      <c r="E107" s="351"/>
      <c r="F107" s="351"/>
      <c r="G107" s="351"/>
    </row>
    <row r="108" spans="1:7" s="302" customFormat="1">
      <c r="A108" s="351"/>
      <c r="B108" s="351"/>
      <c r="C108" s="351"/>
      <c r="D108" s="351"/>
      <c r="E108" s="351"/>
      <c r="F108" s="351"/>
      <c r="G108" s="351"/>
    </row>
    <row r="109" spans="1:7" s="302" customFormat="1">
      <c r="A109" s="351"/>
      <c r="B109" s="351"/>
      <c r="C109" s="351"/>
      <c r="D109" s="351"/>
      <c r="E109" s="351"/>
      <c r="F109" s="351"/>
      <c r="G109" s="351"/>
    </row>
    <row r="110" spans="1:7" s="302" customFormat="1">
      <c r="A110" s="351"/>
      <c r="B110" s="351"/>
      <c r="C110" s="351"/>
      <c r="D110" s="351"/>
      <c r="E110" s="351"/>
      <c r="F110" s="351"/>
      <c r="G110" s="351"/>
    </row>
    <row r="111" spans="1:7" s="302" customFormat="1">
      <c r="A111" s="351"/>
      <c r="B111" s="351"/>
      <c r="C111" s="351"/>
      <c r="D111" s="351"/>
      <c r="E111" s="351"/>
      <c r="F111" s="351"/>
      <c r="G111" s="351"/>
    </row>
    <row r="112" spans="1:7" s="302" customFormat="1">
      <c r="A112" s="351"/>
      <c r="B112" s="351"/>
      <c r="C112" s="351"/>
      <c r="D112" s="351"/>
      <c r="E112" s="351"/>
      <c r="F112" s="351"/>
      <c r="G112" s="351"/>
    </row>
    <row r="113" spans="1:7" s="302" customFormat="1">
      <c r="A113" s="351"/>
      <c r="B113" s="351"/>
      <c r="C113" s="351"/>
      <c r="D113" s="351"/>
      <c r="E113" s="351"/>
      <c r="F113" s="351"/>
      <c r="G113" s="351"/>
    </row>
    <row r="114" spans="1:7" s="302" customFormat="1">
      <c r="A114" s="342"/>
      <c r="B114" s="352" t="s">
        <v>2418</v>
      </c>
      <c r="C114" s="352"/>
      <c r="D114" s="352"/>
      <c r="E114" s="352"/>
      <c r="F114" s="352"/>
      <c r="G114" s="352"/>
    </row>
    <row r="115" spans="1:7" s="302" customFormat="1">
      <c r="A115" s="342"/>
      <c r="B115" s="353"/>
      <c r="C115" s="353"/>
      <c r="D115" s="353"/>
      <c r="E115" s="353"/>
      <c r="F115" s="353"/>
      <c r="G115" s="353"/>
    </row>
    <row r="116" spans="1:7" s="302" customFormat="1">
      <c r="A116" s="342"/>
      <c r="B116" s="352" t="s">
        <v>22</v>
      </c>
      <c r="C116" s="352"/>
      <c r="D116" s="352"/>
      <c r="E116" s="352"/>
      <c r="F116" s="352"/>
      <c r="G116" s="352"/>
    </row>
    <row r="117" spans="1:7" s="302" customFormat="1">
      <c r="A117" s="342"/>
      <c r="B117" s="353"/>
      <c r="C117" s="353"/>
      <c r="D117" s="353"/>
      <c r="E117" s="353"/>
      <c r="F117" s="353"/>
      <c r="G117" s="353"/>
    </row>
    <row r="118" spans="1:7" s="302" customFormat="1">
      <c r="A118" s="342"/>
      <c r="B118" s="352" t="s">
        <v>23</v>
      </c>
      <c r="C118" s="352"/>
      <c r="D118" s="352"/>
      <c r="E118" s="352"/>
      <c r="F118" s="352"/>
      <c r="G118" s="352"/>
    </row>
    <row r="119" spans="1:7" s="302" customFormat="1">
      <c r="A119" s="342"/>
      <c r="B119" s="352" t="s">
        <v>24</v>
      </c>
      <c r="C119" s="352"/>
      <c r="D119" s="352"/>
      <c r="E119" s="352"/>
      <c r="F119" s="352"/>
      <c r="G119" s="352"/>
    </row>
    <row r="120" spans="1:7" s="303" customFormat="1">
      <c r="A120" s="346"/>
      <c r="B120" s="346"/>
      <c r="E120" s="333"/>
    </row>
  </sheetData>
  <mergeCells count="62">
    <mergeCell ref="A1:J1"/>
    <mergeCell ref="B16:C16"/>
    <mergeCell ref="B18:C18"/>
    <mergeCell ref="B29:C29"/>
    <mergeCell ref="A29:A31"/>
    <mergeCell ref="B30:C30"/>
    <mergeCell ref="A2:J2"/>
    <mergeCell ref="A3:J3"/>
    <mergeCell ref="A4:J4"/>
    <mergeCell ref="G6:H6"/>
    <mergeCell ref="I6:J6"/>
    <mergeCell ref="B8:C9"/>
    <mergeCell ref="F9:F10"/>
    <mergeCell ref="A7:A10"/>
    <mergeCell ref="B7:C7"/>
    <mergeCell ref="B6:C6"/>
    <mergeCell ref="D6:E6"/>
    <mergeCell ref="B62:C63"/>
    <mergeCell ref="A43:A48"/>
    <mergeCell ref="B43:C44"/>
    <mergeCell ref="A25:A28"/>
    <mergeCell ref="B25:C25"/>
    <mergeCell ref="A21:A24"/>
    <mergeCell ref="B21:C21"/>
    <mergeCell ref="B22:C23"/>
    <mergeCell ref="A11:A20"/>
    <mergeCell ref="B11:C11"/>
    <mergeCell ref="B12:C14"/>
    <mergeCell ref="B17:C17"/>
    <mergeCell ref="B19:C19"/>
    <mergeCell ref="B54:C54"/>
    <mergeCell ref="B55:C57"/>
    <mergeCell ref="F27:F28"/>
    <mergeCell ref="F33:F34"/>
    <mergeCell ref="A35:A37"/>
    <mergeCell ref="B35:C35"/>
    <mergeCell ref="B36:C36"/>
    <mergeCell ref="B26:C27"/>
    <mergeCell ref="A38:A42"/>
    <mergeCell ref="B38:C40"/>
    <mergeCell ref="B41:C41"/>
    <mergeCell ref="A32:A34"/>
    <mergeCell ref="A73:A79"/>
    <mergeCell ref="B73:C73"/>
    <mergeCell ref="B32:C32"/>
    <mergeCell ref="B33:C33"/>
    <mergeCell ref="B74:C74"/>
    <mergeCell ref="B45:C46"/>
    <mergeCell ref="A49:A53"/>
    <mergeCell ref="B49:C49"/>
    <mergeCell ref="B50:C51"/>
    <mergeCell ref="A54:A58"/>
    <mergeCell ref="A59:A67"/>
    <mergeCell ref="B59:C59"/>
    <mergeCell ref="B75:C76"/>
    <mergeCell ref="F57:F58"/>
    <mergeCell ref="A80:A82"/>
    <mergeCell ref="B80:C80"/>
    <mergeCell ref="B81:C81"/>
    <mergeCell ref="A68:A72"/>
    <mergeCell ref="B68:C68"/>
    <mergeCell ref="B70:C71"/>
  </mergeCells>
  <phoneticPr fontId="4" type="noConversion"/>
  <pageMargins left="0.7" right="0.7" top="0.75" bottom="0.75" header="0.3" footer="0.3"/>
  <pageSetup paperSize="9" scale="85" orientation="portrait" r:id="rId1"/>
</worksheet>
</file>

<file path=xl/worksheets/sheet49.xml><?xml version="1.0" encoding="utf-8"?>
<worksheet xmlns="http://schemas.openxmlformats.org/spreadsheetml/2006/main" xmlns:r="http://schemas.openxmlformats.org/officeDocument/2006/relationships">
  <dimension ref="A1:J100"/>
  <sheetViews>
    <sheetView workbookViewId="0">
      <selection activeCell="A2" sqref="A2:J2"/>
    </sheetView>
  </sheetViews>
  <sheetFormatPr defaultColWidth="9" defaultRowHeight="15.75"/>
  <cols>
    <col min="1" max="1" width="6.7109375" style="520" customWidth="1"/>
    <col min="2" max="2" width="5.85546875" style="520" customWidth="1"/>
    <col min="3" max="3" width="14.28515625" style="520" customWidth="1"/>
    <col min="4" max="4" width="7" style="520" customWidth="1"/>
    <col min="5" max="5" width="8.7109375" style="520" customWidth="1"/>
    <col min="6" max="6" width="35.42578125" style="520" customWidth="1"/>
    <col min="7" max="7" width="6.85546875" style="520" customWidth="1"/>
    <col min="8" max="8" width="7.28515625" style="520" customWidth="1"/>
    <col min="9" max="9" width="6.42578125" style="520" customWidth="1"/>
    <col min="10" max="10" width="7.140625" style="520" customWidth="1"/>
    <col min="11" max="16384" width="9" style="520"/>
  </cols>
  <sheetData>
    <row r="1" spans="1:10">
      <c r="A1" s="1371" t="s">
        <v>446</v>
      </c>
      <c r="B1" s="1371"/>
      <c r="C1" s="1371"/>
      <c r="D1" s="1371"/>
      <c r="E1" s="1371"/>
      <c r="F1" s="1371"/>
      <c r="G1" s="1371"/>
      <c r="H1" s="1371"/>
      <c r="I1" s="1371"/>
      <c r="J1" s="1371"/>
    </row>
    <row r="2" spans="1:10" ht="30.75" customHeight="1">
      <c r="A2" s="1406" t="s">
        <v>25</v>
      </c>
      <c r="B2" s="1406"/>
      <c r="C2" s="1406"/>
      <c r="D2" s="1406"/>
      <c r="E2" s="1406"/>
      <c r="F2" s="1406"/>
      <c r="G2" s="1406"/>
      <c r="H2" s="1406"/>
      <c r="I2" s="1406"/>
      <c r="J2" s="1406"/>
    </row>
    <row r="3" spans="1:10">
      <c r="A3" s="1371" t="s">
        <v>26</v>
      </c>
      <c r="B3" s="1371"/>
      <c r="C3" s="1371"/>
      <c r="D3" s="1371"/>
      <c r="E3" s="1371"/>
      <c r="F3" s="1371"/>
      <c r="G3" s="1371"/>
      <c r="H3" s="1371"/>
      <c r="I3" s="1371"/>
      <c r="J3" s="1371"/>
    </row>
    <row r="4" spans="1:10">
      <c r="A4" s="1371" t="s">
        <v>449</v>
      </c>
      <c r="B4" s="1371"/>
      <c r="C4" s="1371"/>
      <c r="D4" s="1371"/>
      <c r="E4" s="1371"/>
      <c r="F4" s="1371"/>
      <c r="G4" s="1371"/>
      <c r="H4" s="1371"/>
      <c r="I4" s="1371"/>
      <c r="J4" s="1371"/>
    </row>
    <row r="5" spans="1:10" ht="11.25" customHeight="1">
      <c r="A5" s="391"/>
      <c r="B5" s="391"/>
    </row>
    <row r="6" spans="1:10" ht="98.25" customHeight="1">
      <c r="A6" s="420" t="s">
        <v>434</v>
      </c>
      <c r="B6" s="1360" t="s">
        <v>1048</v>
      </c>
      <c r="C6" s="1360"/>
      <c r="D6" s="1360" t="s">
        <v>1246</v>
      </c>
      <c r="E6" s="1360"/>
      <c r="F6" s="420" t="s">
        <v>452</v>
      </c>
      <c r="G6" s="1360" t="s">
        <v>1247</v>
      </c>
      <c r="H6" s="1360"/>
      <c r="I6" s="1360" t="s">
        <v>1248</v>
      </c>
      <c r="J6" s="1360"/>
    </row>
    <row r="7" spans="1:10" ht="69.75" customHeight="1">
      <c r="A7" s="1355" t="s">
        <v>454</v>
      </c>
      <c r="B7" s="1361" t="s">
        <v>455</v>
      </c>
      <c r="C7" s="1362"/>
      <c r="D7" s="422"/>
      <c r="E7" s="423"/>
      <c r="F7" s="2" t="s">
        <v>456</v>
      </c>
      <c r="G7" s="424" t="s">
        <v>1249</v>
      </c>
      <c r="H7" s="425">
        <v>0.3</v>
      </c>
      <c r="I7" s="426" t="s">
        <v>914</v>
      </c>
      <c r="J7" s="427">
        <v>1</v>
      </c>
    </row>
    <row r="8" spans="1:10" ht="19.5" customHeight="1">
      <c r="A8" s="1356"/>
      <c r="B8" s="1363" t="s">
        <v>1250</v>
      </c>
      <c r="C8" s="1364"/>
      <c r="D8" s="429" t="s">
        <v>1251</v>
      </c>
      <c r="E8" s="590">
        <v>0.08</v>
      </c>
      <c r="F8" s="2" t="s">
        <v>457</v>
      </c>
      <c r="G8" s="431" t="s">
        <v>1252</v>
      </c>
      <c r="H8" s="432">
        <v>0.2</v>
      </c>
      <c r="I8" s="433" t="s">
        <v>915</v>
      </c>
      <c r="J8" s="434">
        <v>1</v>
      </c>
    </row>
    <row r="9" spans="1:10" ht="35.25" customHeight="1">
      <c r="A9" s="1356"/>
      <c r="B9" s="1363"/>
      <c r="C9" s="1364"/>
      <c r="D9" s="429"/>
      <c r="E9" s="430"/>
      <c r="F9" s="1365" t="s">
        <v>458</v>
      </c>
      <c r="G9" s="436" t="s">
        <v>1253</v>
      </c>
      <c r="H9" s="437">
        <v>0.5</v>
      </c>
      <c r="I9" s="438" t="s">
        <v>916</v>
      </c>
      <c r="J9" s="439">
        <v>1</v>
      </c>
    </row>
    <row r="10" spans="1:10" ht="35.25" customHeight="1">
      <c r="A10" s="1357"/>
      <c r="B10" s="440" t="s">
        <v>1254</v>
      </c>
      <c r="C10" s="441">
        <f>E8*(H7*J7+H8*J8+H9*J9)</f>
        <v>0.08</v>
      </c>
      <c r="D10" s="522"/>
      <c r="E10" s="443"/>
      <c r="F10" s="1366"/>
      <c r="G10" s="444"/>
      <c r="H10" s="443"/>
      <c r="I10" s="450"/>
      <c r="J10" s="523"/>
    </row>
    <row r="11" spans="1:10" ht="75.75" customHeight="1">
      <c r="A11" s="1355" t="s">
        <v>459</v>
      </c>
      <c r="B11" s="1379" t="s">
        <v>435</v>
      </c>
      <c r="C11" s="1362"/>
      <c r="D11" s="524"/>
      <c r="E11" s="525"/>
      <c r="F11" s="2" t="s">
        <v>460</v>
      </c>
      <c r="G11" s="455" t="s">
        <v>1255</v>
      </c>
      <c r="H11" s="591">
        <v>0.11</v>
      </c>
      <c r="I11" s="426" t="s">
        <v>917</v>
      </c>
      <c r="J11" s="526">
        <v>1</v>
      </c>
    </row>
    <row r="12" spans="1:10" ht="36.75" customHeight="1">
      <c r="A12" s="1356"/>
      <c r="B12" s="1407" t="s">
        <v>1370</v>
      </c>
      <c r="C12" s="1364"/>
      <c r="D12" s="527"/>
      <c r="E12" s="528"/>
      <c r="F12" s="2" t="s">
        <v>461</v>
      </c>
      <c r="G12" s="455" t="s">
        <v>1257</v>
      </c>
      <c r="H12" s="591">
        <v>0.15</v>
      </c>
      <c r="I12" s="529" t="s">
        <v>918</v>
      </c>
      <c r="J12" s="530">
        <v>1</v>
      </c>
    </row>
    <row r="13" spans="1:10" ht="37.5" customHeight="1">
      <c r="A13" s="1356"/>
      <c r="B13" s="1407"/>
      <c r="C13" s="1364"/>
      <c r="D13" s="527"/>
      <c r="E13" s="528"/>
      <c r="F13" s="2" t="s">
        <v>462</v>
      </c>
      <c r="G13" s="455" t="s">
        <v>1258</v>
      </c>
      <c r="H13" s="591">
        <v>0.2</v>
      </c>
      <c r="I13" s="529" t="s">
        <v>919</v>
      </c>
      <c r="J13" s="530">
        <v>1</v>
      </c>
    </row>
    <row r="14" spans="1:10" ht="37.5" customHeight="1">
      <c r="A14" s="1356"/>
      <c r="B14" s="1407"/>
      <c r="C14" s="1364"/>
      <c r="D14" s="457" t="s">
        <v>1260</v>
      </c>
      <c r="E14" s="592">
        <v>0.06</v>
      </c>
      <c r="F14" s="2" t="s">
        <v>463</v>
      </c>
      <c r="G14" s="455" t="s">
        <v>1259</v>
      </c>
      <c r="H14" s="591">
        <v>0.18</v>
      </c>
      <c r="I14" s="529" t="s">
        <v>920</v>
      </c>
      <c r="J14" s="530">
        <v>1</v>
      </c>
    </row>
    <row r="15" spans="1:10" ht="51" customHeight="1">
      <c r="A15" s="1356"/>
      <c r="B15" s="1380"/>
      <c r="C15" s="1381"/>
      <c r="D15" s="527"/>
      <c r="E15" s="528"/>
      <c r="F15" s="2" t="s">
        <v>27</v>
      </c>
      <c r="G15" s="455" t="s">
        <v>1261</v>
      </c>
      <c r="H15" s="593">
        <v>0.1</v>
      </c>
      <c r="I15" s="529" t="s">
        <v>921</v>
      </c>
      <c r="J15" s="530">
        <v>1</v>
      </c>
    </row>
    <row r="16" spans="1:10" ht="20.25" customHeight="1">
      <c r="A16" s="1356"/>
      <c r="B16" s="1380"/>
      <c r="C16" s="1381"/>
      <c r="D16" s="527"/>
      <c r="E16" s="528"/>
      <c r="F16" s="2" t="s">
        <v>466</v>
      </c>
      <c r="G16" s="455" t="s">
        <v>1262</v>
      </c>
      <c r="H16" s="591">
        <v>0.09</v>
      </c>
      <c r="I16" s="529" t="s">
        <v>922</v>
      </c>
      <c r="J16" s="530">
        <v>1</v>
      </c>
    </row>
    <row r="17" spans="1:10" ht="20.25" customHeight="1">
      <c r="A17" s="1356"/>
      <c r="B17" s="1380"/>
      <c r="C17" s="1381"/>
      <c r="D17" s="527"/>
      <c r="E17" s="528"/>
      <c r="F17" s="2" t="s">
        <v>467</v>
      </c>
      <c r="G17" s="455" t="s">
        <v>1263</v>
      </c>
      <c r="H17" s="591">
        <v>7.0000000000000007E-2</v>
      </c>
      <c r="I17" s="529" t="s">
        <v>923</v>
      </c>
      <c r="J17" s="530">
        <v>1</v>
      </c>
    </row>
    <row r="18" spans="1:10" ht="21.75" customHeight="1">
      <c r="A18" s="1356"/>
      <c r="B18" s="1380"/>
      <c r="C18" s="1381"/>
      <c r="D18" s="527"/>
      <c r="E18" s="528"/>
      <c r="F18" s="2" t="s">
        <v>468</v>
      </c>
      <c r="G18" s="455" t="s">
        <v>1264</v>
      </c>
      <c r="H18" s="591">
        <v>0.05</v>
      </c>
      <c r="I18" s="529" t="s">
        <v>924</v>
      </c>
      <c r="J18" s="530">
        <v>1</v>
      </c>
    </row>
    <row r="19" spans="1:10" ht="36.75" customHeight="1">
      <c r="A19" s="1357"/>
      <c r="B19" s="459" t="s">
        <v>1266</v>
      </c>
      <c r="C19" s="460">
        <f>E14*(H11*J11+H12*J12+H13*J13+H14*J14+H15*J15+H16*J16+H17*J17+H18*J18+H19*J19)</f>
        <v>0.06</v>
      </c>
      <c r="D19" s="531"/>
      <c r="E19" s="532"/>
      <c r="F19" s="2" t="s">
        <v>469</v>
      </c>
      <c r="G19" s="455" t="s">
        <v>1265</v>
      </c>
      <c r="H19" s="591">
        <v>0.05</v>
      </c>
      <c r="I19" s="529" t="s">
        <v>925</v>
      </c>
      <c r="J19" s="530">
        <v>1</v>
      </c>
    </row>
    <row r="20" spans="1:10" s="59" customFormat="1" ht="162.75" customHeight="1">
      <c r="A20" s="1372" t="s">
        <v>470</v>
      </c>
      <c r="B20" s="1373" t="s">
        <v>1268</v>
      </c>
      <c r="C20" s="1416"/>
      <c r="D20" s="463" t="s">
        <v>1269</v>
      </c>
      <c r="E20" s="594">
        <v>0.08</v>
      </c>
      <c r="F20" s="2" t="s">
        <v>471</v>
      </c>
      <c r="G20" s="455" t="s">
        <v>1267</v>
      </c>
      <c r="H20" s="425">
        <v>0.37</v>
      </c>
      <c r="I20" s="426" t="s">
        <v>926</v>
      </c>
      <c r="J20" s="456">
        <v>1</v>
      </c>
    </row>
    <row r="21" spans="1:10" s="59" customFormat="1" ht="33" customHeight="1">
      <c r="A21" s="1372"/>
      <c r="B21" s="1377" t="s">
        <v>1371</v>
      </c>
      <c r="C21" s="1378"/>
      <c r="D21" s="534"/>
      <c r="E21" s="535" t="s">
        <v>28</v>
      </c>
      <c r="F21" s="2" t="s">
        <v>472</v>
      </c>
      <c r="G21" s="455" t="s">
        <v>1270</v>
      </c>
      <c r="H21" s="425">
        <v>0.18</v>
      </c>
      <c r="I21" s="426" t="s">
        <v>927</v>
      </c>
      <c r="J21" s="456">
        <v>1</v>
      </c>
    </row>
    <row r="22" spans="1:10" s="59" customFormat="1" ht="49.5" customHeight="1">
      <c r="A22" s="1372"/>
      <c r="B22" s="1377"/>
      <c r="C22" s="1378"/>
      <c r="D22" s="453"/>
      <c r="E22" s="454"/>
      <c r="F22" s="2" t="s">
        <v>84</v>
      </c>
      <c r="G22" s="455" t="s">
        <v>1272</v>
      </c>
      <c r="H22" s="425">
        <v>0.27</v>
      </c>
      <c r="I22" s="426" t="s">
        <v>928</v>
      </c>
      <c r="J22" s="456">
        <v>1</v>
      </c>
    </row>
    <row r="23" spans="1:10" s="59" customFormat="1" ht="36.75" customHeight="1">
      <c r="A23" s="1372"/>
      <c r="B23" s="440" t="s">
        <v>1274</v>
      </c>
      <c r="C23" s="441">
        <f>E20*(H20*J20+H21*J21+H22*J22+H23*J23)</f>
        <v>0.08</v>
      </c>
      <c r="D23" s="461"/>
      <c r="E23" s="462"/>
      <c r="F23" s="2" t="s">
        <v>85</v>
      </c>
      <c r="G23" s="455" t="s">
        <v>1273</v>
      </c>
      <c r="H23" s="425">
        <v>0.18</v>
      </c>
      <c r="I23" s="426" t="s">
        <v>929</v>
      </c>
      <c r="J23" s="456">
        <v>1</v>
      </c>
    </row>
    <row r="24" spans="1:10" s="59" customFormat="1" ht="50.25" customHeight="1">
      <c r="A24" s="1355" t="s">
        <v>473</v>
      </c>
      <c r="B24" s="1361" t="s">
        <v>1372</v>
      </c>
      <c r="C24" s="1362"/>
      <c r="D24" s="447"/>
      <c r="E24" s="448"/>
      <c r="F24" s="2" t="s">
        <v>474</v>
      </c>
      <c r="G24" s="455" t="s">
        <v>1275</v>
      </c>
      <c r="H24" s="425">
        <v>0.28000000000000003</v>
      </c>
      <c r="I24" s="426" t="s">
        <v>930</v>
      </c>
      <c r="J24" s="456">
        <v>1</v>
      </c>
    </row>
    <row r="25" spans="1:10" s="59" customFormat="1" ht="51" customHeight="1">
      <c r="A25" s="1356"/>
      <c r="B25" s="1414" t="s">
        <v>1373</v>
      </c>
      <c r="C25" s="1425"/>
      <c r="D25" s="467" t="s">
        <v>1279</v>
      </c>
      <c r="E25" s="590">
        <v>0.05</v>
      </c>
      <c r="F25" s="468" t="s">
        <v>27</v>
      </c>
      <c r="G25" s="455" t="s">
        <v>1277</v>
      </c>
      <c r="H25" s="425">
        <v>0.44</v>
      </c>
      <c r="I25" s="426" t="s">
        <v>931</v>
      </c>
      <c r="J25" s="456">
        <v>1</v>
      </c>
    </row>
    <row r="26" spans="1:10" s="59" customFormat="1" ht="15.75" customHeight="1">
      <c r="A26" s="1356"/>
      <c r="B26" s="1426"/>
      <c r="C26" s="1425"/>
      <c r="D26" s="453"/>
      <c r="E26" s="454"/>
      <c r="F26" s="1405" t="s">
        <v>475</v>
      </c>
      <c r="G26" s="470" t="s">
        <v>1280</v>
      </c>
      <c r="H26" s="471">
        <v>0.28000000000000003</v>
      </c>
      <c r="I26" s="537" t="s">
        <v>933</v>
      </c>
      <c r="J26" s="538">
        <v>1</v>
      </c>
    </row>
    <row r="27" spans="1:10" s="59" customFormat="1" ht="22.5" customHeight="1">
      <c r="A27" s="1356"/>
      <c r="B27" s="474" t="s">
        <v>1282</v>
      </c>
      <c r="C27" s="475">
        <f>E25*(H24*J24+H25*J25+H26*J26)</f>
        <v>0.05</v>
      </c>
      <c r="D27" s="453"/>
      <c r="E27" s="454"/>
      <c r="F27" s="1390"/>
      <c r="G27" s="470"/>
      <c r="H27" s="471"/>
      <c r="I27" s="537"/>
      <c r="J27" s="538"/>
    </row>
    <row r="28" spans="1:10" s="59" customFormat="1" ht="37.5" hidden="1" customHeight="1">
      <c r="A28" s="1419" t="s">
        <v>476</v>
      </c>
      <c r="B28" s="1417" t="s">
        <v>477</v>
      </c>
      <c r="C28" s="1418"/>
      <c r="D28" s="447"/>
      <c r="E28" s="448"/>
      <c r="F28" s="45" t="s">
        <v>478</v>
      </c>
      <c r="G28" s="455" t="s">
        <v>1281</v>
      </c>
      <c r="H28" s="425">
        <v>0.5</v>
      </c>
      <c r="I28" s="543" t="s">
        <v>935</v>
      </c>
      <c r="J28" s="544"/>
    </row>
    <row r="29" spans="1:10" s="59" customFormat="1" ht="48.75" hidden="1" customHeight="1">
      <c r="A29" s="1420"/>
      <c r="B29" s="1422" t="s">
        <v>353</v>
      </c>
      <c r="C29" s="1423"/>
      <c r="D29" s="467" t="s">
        <v>1285</v>
      </c>
      <c r="E29" s="590">
        <v>0.09</v>
      </c>
      <c r="F29" s="595" t="s">
        <v>479</v>
      </c>
      <c r="G29" s="429" t="s">
        <v>1283</v>
      </c>
      <c r="H29" s="430">
        <v>0.5</v>
      </c>
      <c r="I29" s="546" t="s">
        <v>936</v>
      </c>
      <c r="J29" s="547"/>
    </row>
    <row r="30" spans="1:10" s="59" customFormat="1" ht="18.75" hidden="1">
      <c r="A30" s="1421"/>
      <c r="B30" s="596" t="s">
        <v>965</v>
      </c>
      <c r="C30" s="597">
        <f>E29*(H28*J28+H29*J29)</f>
        <v>0</v>
      </c>
      <c r="D30" s="461"/>
      <c r="E30" s="462"/>
      <c r="F30" s="598"/>
      <c r="G30" s="449"/>
      <c r="H30" s="641"/>
      <c r="I30" s="551"/>
      <c r="J30" s="552"/>
    </row>
    <row r="31" spans="1:10" s="59" customFormat="1" ht="84" customHeight="1">
      <c r="A31" s="1355" t="s">
        <v>476</v>
      </c>
      <c r="B31" s="1361" t="s">
        <v>480</v>
      </c>
      <c r="C31" s="1362"/>
      <c r="D31" s="447"/>
      <c r="E31" s="502"/>
      <c r="F31" s="2" t="s">
        <v>481</v>
      </c>
      <c r="G31" s="599" t="s">
        <v>1281</v>
      </c>
      <c r="H31" s="425">
        <v>0.4</v>
      </c>
      <c r="I31" s="529" t="s">
        <v>935</v>
      </c>
      <c r="J31" s="427">
        <v>1</v>
      </c>
    </row>
    <row r="32" spans="1:10" s="59" customFormat="1" ht="82.5" customHeight="1">
      <c r="A32" s="1356"/>
      <c r="B32" s="1385" t="s">
        <v>1374</v>
      </c>
      <c r="C32" s="1386"/>
      <c r="D32" s="457" t="s">
        <v>1285</v>
      </c>
      <c r="E32" s="592">
        <v>0.13</v>
      </c>
      <c r="F32" s="1390" t="s">
        <v>482</v>
      </c>
      <c r="G32" s="555" t="s">
        <v>1283</v>
      </c>
      <c r="H32" s="507">
        <v>0.6</v>
      </c>
      <c r="I32" s="556" t="s">
        <v>936</v>
      </c>
      <c r="J32" s="482">
        <v>1</v>
      </c>
    </row>
    <row r="33" spans="1:10" s="59" customFormat="1" ht="24.75" customHeight="1">
      <c r="A33" s="1357"/>
      <c r="B33" s="440" t="s">
        <v>1287</v>
      </c>
      <c r="C33" s="441">
        <f>E32*(H31*J31+H32*J32)</f>
        <v>0.13</v>
      </c>
      <c r="D33" s="557"/>
      <c r="E33" s="541"/>
      <c r="F33" s="1366"/>
      <c r="G33" s="449"/>
      <c r="H33" s="641"/>
      <c r="I33" s="554"/>
      <c r="J33" s="451"/>
    </row>
    <row r="34" spans="1:10" s="59" customFormat="1" ht="102" customHeight="1">
      <c r="A34" s="1355" t="s">
        <v>29</v>
      </c>
      <c r="B34" s="1361" t="s">
        <v>484</v>
      </c>
      <c r="C34" s="1362"/>
      <c r="D34" s="581"/>
      <c r="E34" s="600"/>
      <c r="F34" s="521" t="s">
        <v>339</v>
      </c>
      <c r="G34" s="455" t="s">
        <v>1286</v>
      </c>
      <c r="H34" s="425">
        <v>0.33</v>
      </c>
      <c r="I34" s="529" t="s">
        <v>937</v>
      </c>
      <c r="J34" s="427">
        <v>1</v>
      </c>
    </row>
    <row r="35" spans="1:10" s="59" customFormat="1" ht="116.25" customHeight="1">
      <c r="A35" s="1356"/>
      <c r="B35" s="1385" t="s">
        <v>1375</v>
      </c>
      <c r="C35" s="1386"/>
      <c r="D35" s="467" t="s">
        <v>1289</v>
      </c>
      <c r="E35" s="590">
        <v>0.13</v>
      </c>
      <c r="F35" s="483" t="s">
        <v>485</v>
      </c>
      <c r="G35" s="449" t="s">
        <v>1288</v>
      </c>
      <c r="H35" s="641">
        <v>0.33</v>
      </c>
      <c r="I35" s="554" t="s">
        <v>938</v>
      </c>
      <c r="J35" s="451">
        <v>1</v>
      </c>
    </row>
    <row r="36" spans="1:10" s="59" customFormat="1" ht="117" customHeight="1">
      <c r="A36" s="1357"/>
      <c r="B36" s="440" t="s">
        <v>1293</v>
      </c>
      <c r="C36" s="441">
        <f>E35*(H34*J34+H35*J35+H36*J36)</f>
        <v>0.13</v>
      </c>
      <c r="D36" s="557"/>
      <c r="E36" s="541"/>
      <c r="F36" s="483" t="s">
        <v>486</v>
      </c>
      <c r="G36" s="449" t="s">
        <v>1290</v>
      </c>
      <c r="H36" s="641">
        <v>0.34</v>
      </c>
      <c r="I36" s="554" t="s">
        <v>939</v>
      </c>
      <c r="J36" s="451">
        <v>1</v>
      </c>
    </row>
    <row r="37" spans="1:10" s="59" customFormat="1" ht="31.5" customHeight="1">
      <c r="A37" s="1355" t="s">
        <v>30</v>
      </c>
      <c r="B37" s="1361" t="s">
        <v>488</v>
      </c>
      <c r="C37" s="1362"/>
      <c r="D37" s="447"/>
      <c r="E37" s="448"/>
      <c r="F37" s="2" t="s">
        <v>489</v>
      </c>
      <c r="G37" s="455" t="s">
        <v>1291</v>
      </c>
      <c r="H37" s="425">
        <v>0.33</v>
      </c>
      <c r="I37" s="529" t="s">
        <v>940</v>
      </c>
      <c r="J37" s="427">
        <v>1</v>
      </c>
    </row>
    <row r="38" spans="1:10" s="59" customFormat="1" ht="36" customHeight="1">
      <c r="A38" s="1356"/>
      <c r="B38" s="1375"/>
      <c r="C38" s="1376"/>
      <c r="D38" s="487" t="s">
        <v>1298</v>
      </c>
      <c r="E38" s="601">
        <v>0.1</v>
      </c>
      <c r="F38" s="2" t="s">
        <v>340</v>
      </c>
      <c r="G38" s="455" t="s">
        <v>1294</v>
      </c>
      <c r="H38" s="425">
        <v>0.33</v>
      </c>
      <c r="I38" s="529" t="s">
        <v>941</v>
      </c>
      <c r="J38" s="427">
        <v>1</v>
      </c>
    </row>
    <row r="39" spans="1:10" s="59" customFormat="1" ht="66" customHeight="1">
      <c r="A39" s="1356"/>
      <c r="B39" s="1375"/>
      <c r="C39" s="1376"/>
      <c r="D39" s="453"/>
      <c r="E39" s="454"/>
      <c r="F39" s="488" t="s">
        <v>490</v>
      </c>
      <c r="G39" s="470" t="s">
        <v>1295</v>
      </c>
      <c r="H39" s="458">
        <v>0.34</v>
      </c>
      <c r="I39" s="602" t="s">
        <v>942</v>
      </c>
      <c r="J39" s="538">
        <v>1</v>
      </c>
    </row>
    <row r="40" spans="1:10" s="59" customFormat="1" ht="53.25" customHeight="1">
      <c r="A40" s="1356"/>
      <c r="B40" s="1385" t="s">
        <v>1376</v>
      </c>
      <c r="C40" s="1386"/>
      <c r="D40" s="453"/>
      <c r="E40" s="454"/>
      <c r="F40" s="603"/>
      <c r="G40" s="453"/>
      <c r="H40" s="490"/>
      <c r="I40" s="489"/>
      <c r="J40" s="500"/>
    </row>
    <row r="41" spans="1:10" s="59" customFormat="1" ht="18.75">
      <c r="A41" s="1357"/>
      <c r="B41" s="562" t="s">
        <v>1336</v>
      </c>
      <c r="C41" s="563">
        <f>E38*(H37*J37+H38*J38+H39*J39)</f>
        <v>0.1</v>
      </c>
      <c r="D41" s="461"/>
      <c r="E41" s="462"/>
      <c r="F41" s="604"/>
      <c r="G41" s="461"/>
      <c r="H41" s="496"/>
      <c r="I41" s="495"/>
      <c r="J41" s="523"/>
    </row>
    <row r="42" spans="1:10" s="59" customFormat="1" ht="51" customHeight="1">
      <c r="A42" s="1355" t="s">
        <v>31</v>
      </c>
      <c r="B42" s="1361" t="s">
        <v>341</v>
      </c>
      <c r="C42" s="1362"/>
      <c r="D42" s="447"/>
      <c r="E42" s="448"/>
      <c r="F42" s="2" t="s">
        <v>342</v>
      </c>
      <c r="G42" s="498" t="s">
        <v>1297</v>
      </c>
      <c r="H42" s="425">
        <v>0.24</v>
      </c>
      <c r="I42" s="426" t="s">
        <v>943</v>
      </c>
      <c r="J42" s="427">
        <v>1</v>
      </c>
    </row>
    <row r="43" spans="1:10" s="59" customFormat="1" ht="50.25" customHeight="1">
      <c r="A43" s="1356"/>
      <c r="B43" s="1375"/>
      <c r="C43" s="1376"/>
      <c r="D43" s="453"/>
      <c r="E43" s="454"/>
      <c r="F43" s="2" t="s">
        <v>343</v>
      </c>
      <c r="G43" s="498" t="s">
        <v>1299</v>
      </c>
      <c r="H43" s="425">
        <v>0.24</v>
      </c>
      <c r="I43" s="426" t="s">
        <v>944</v>
      </c>
      <c r="J43" s="427">
        <v>1</v>
      </c>
    </row>
    <row r="44" spans="1:10" s="59" customFormat="1" ht="50.25" customHeight="1">
      <c r="A44" s="1356"/>
      <c r="B44" s="1377" t="s">
        <v>643</v>
      </c>
      <c r="C44" s="1378"/>
      <c r="D44" s="467" t="s">
        <v>1305</v>
      </c>
      <c r="E44" s="590">
        <v>0.13</v>
      </c>
      <c r="F44" s="2" t="s">
        <v>344</v>
      </c>
      <c r="G44" s="498" t="s">
        <v>1300</v>
      </c>
      <c r="H44" s="425">
        <v>0.24</v>
      </c>
      <c r="I44" s="426" t="s">
        <v>945</v>
      </c>
      <c r="J44" s="427">
        <v>1</v>
      </c>
    </row>
    <row r="45" spans="1:10" s="59" customFormat="1" ht="63">
      <c r="A45" s="1356"/>
      <c r="B45" s="1377"/>
      <c r="C45" s="1378"/>
      <c r="D45" s="457"/>
      <c r="E45" s="458"/>
      <c r="F45" s="2" t="s">
        <v>496</v>
      </c>
      <c r="G45" s="498" t="s">
        <v>1302</v>
      </c>
      <c r="H45" s="425">
        <v>0.1</v>
      </c>
      <c r="I45" s="426" t="s">
        <v>946</v>
      </c>
      <c r="J45" s="427">
        <v>1</v>
      </c>
    </row>
    <row r="46" spans="1:10" s="59" customFormat="1" ht="47.25">
      <c r="A46" s="1357"/>
      <c r="B46" s="501" t="s">
        <v>1308</v>
      </c>
      <c r="C46" s="460">
        <f>E44*(H42*J42+H43*J43+H44*J44+H45*J45+H46*J46)</f>
        <v>0.13</v>
      </c>
      <c r="D46" s="461"/>
      <c r="E46" s="462"/>
      <c r="F46" s="2" t="s">
        <v>498</v>
      </c>
      <c r="G46" s="498" t="s">
        <v>1303</v>
      </c>
      <c r="H46" s="425">
        <v>0.18</v>
      </c>
      <c r="I46" s="426" t="s">
        <v>947</v>
      </c>
      <c r="J46" s="427">
        <v>1</v>
      </c>
    </row>
    <row r="47" spans="1:10" s="59" customFormat="1" ht="51.75" customHeight="1">
      <c r="A47" s="1372" t="s">
        <v>499</v>
      </c>
      <c r="B47" s="1361" t="s">
        <v>32</v>
      </c>
      <c r="C47" s="1362"/>
      <c r="D47" s="447"/>
      <c r="E47" s="448"/>
      <c r="F47" s="2" t="s">
        <v>501</v>
      </c>
      <c r="G47" s="498" t="s">
        <v>1306</v>
      </c>
      <c r="H47" s="425">
        <v>0.18</v>
      </c>
      <c r="I47" s="426" t="s">
        <v>948</v>
      </c>
      <c r="J47" s="427">
        <v>1</v>
      </c>
    </row>
    <row r="48" spans="1:10" s="59" customFormat="1" ht="31.5" customHeight="1">
      <c r="A48" s="1372"/>
      <c r="B48" s="1385" t="s">
        <v>644</v>
      </c>
      <c r="C48" s="1386"/>
      <c r="D48" s="487"/>
      <c r="E48" s="437"/>
      <c r="F48" s="2" t="s">
        <v>502</v>
      </c>
      <c r="G48" s="498" t="s">
        <v>1307</v>
      </c>
      <c r="H48" s="425">
        <v>0.14000000000000001</v>
      </c>
      <c r="I48" s="426" t="s">
        <v>949</v>
      </c>
      <c r="J48" s="427">
        <v>1</v>
      </c>
    </row>
    <row r="49" spans="1:10" s="59" customFormat="1" ht="34.5" customHeight="1">
      <c r="A49" s="1372"/>
      <c r="B49" s="1385"/>
      <c r="C49" s="1386"/>
      <c r="D49" s="487"/>
      <c r="E49" s="535"/>
      <c r="F49" s="2" t="s">
        <v>549</v>
      </c>
      <c r="G49" s="498" t="s">
        <v>1309</v>
      </c>
      <c r="H49" s="425">
        <v>0.14000000000000001</v>
      </c>
      <c r="I49" s="426" t="s">
        <v>950</v>
      </c>
      <c r="J49" s="427">
        <v>1</v>
      </c>
    </row>
    <row r="50" spans="1:10" s="59" customFormat="1" ht="36.75" customHeight="1">
      <c r="A50" s="1372"/>
      <c r="B50" s="1385"/>
      <c r="C50" s="1386"/>
      <c r="D50" s="487" t="s">
        <v>1311</v>
      </c>
      <c r="E50" s="601">
        <v>0.1</v>
      </c>
      <c r="F50" s="2" t="s">
        <v>33</v>
      </c>
      <c r="G50" s="498" t="s">
        <v>1310</v>
      </c>
      <c r="H50" s="425">
        <v>0.2</v>
      </c>
      <c r="I50" s="426" t="s">
        <v>951</v>
      </c>
      <c r="J50" s="427">
        <v>1</v>
      </c>
    </row>
    <row r="51" spans="1:10" s="59" customFormat="1" ht="36.75" customHeight="1">
      <c r="A51" s="1372"/>
      <c r="B51" s="479"/>
      <c r="C51" s="480"/>
      <c r="D51" s="453"/>
      <c r="E51" s="535" t="s">
        <v>34</v>
      </c>
      <c r="F51" s="2" t="s">
        <v>503</v>
      </c>
      <c r="G51" s="498" t="s">
        <v>1312</v>
      </c>
      <c r="H51" s="425">
        <v>0.16</v>
      </c>
      <c r="I51" s="426" t="s">
        <v>952</v>
      </c>
      <c r="J51" s="427">
        <v>1</v>
      </c>
    </row>
    <row r="52" spans="1:10" s="59" customFormat="1" ht="78.75">
      <c r="A52" s="1372"/>
      <c r="B52" s="440" t="s">
        <v>1316</v>
      </c>
      <c r="C52" s="441">
        <f>E50*(H47*J47+H48*J48+H49*J49+H50*J50+H51*J51+H52*J52)</f>
        <v>0.1</v>
      </c>
      <c r="D52" s="461"/>
      <c r="E52" s="462"/>
      <c r="F52" s="2" t="s">
        <v>550</v>
      </c>
      <c r="G52" s="498" t="s">
        <v>1314</v>
      </c>
      <c r="H52" s="425">
        <v>0.18</v>
      </c>
      <c r="I52" s="426" t="s">
        <v>953</v>
      </c>
      <c r="J52" s="427">
        <v>1</v>
      </c>
    </row>
    <row r="53" spans="1:10" s="59" customFormat="1" ht="69.75" customHeight="1">
      <c r="A53" s="1382" t="s">
        <v>504</v>
      </c>
      <c r="B53" s="1361" t="s">
        <v>505</v>
      </c>
      <c r="C53" s="1362"/>
      <c r="D53" s="502"/>
      <c r="E53" s="502"/>
      <c r="F53" s="2" t="s">
        <v>35</v>
      </c>
      <c r="G53" s="498" t="s">
        <v>1315</v>
      </c>
      <c r="H53" s="425">
        <v>0.48</v>
      </c>
      <c r="I53" s="426" t="s">
        <v>954</v>
      </c>
      <c r="J53" s="427">
        <v>1</v>
      </c>
    </row>
    <row r="54" spans="1:10" s="59" customFormat="1" ht="18.75">
      <c r="A54" s="1383"/>
      <c r="B54" s="1375"/>
      <c r="C54" s="1376"/>
      <c r="D54" s="503"/>
      <c r="E54" s="504"/>
      <c r="F54" s="468" t="s">
        <v>507</v>
      </c>
      <c r="G54" s="498" t="s">
        <v>1317</v>
      </c>
      <c r="H54" s="425">
        <v>0.32</v>
      </c>
      <c r="I54" s="426" t="s">
        <v>955</v>
      </c>
      <c r="J54" s="427">
        <v>1</v>
      </c>
    </row>
    <row r="55" spans="1:10" s="59" customFormat="1" ht="37.5" customHeight="1">
      <c r="A55" s="1383"/>
      <c r="B55" s="1385" t="s">
        <v>645</v>
      </c>
      <c r="C55" s="1386"/>
      <c r="D55" s="567" t="s">
        <v>1321</v>
      </c>
      <c r="E55" s="568">
        <v>7.0000000000000007E-2</v>
      </c>
      <c r="F55" s="468" t="s">
        <v>508</v>
      </c>
      <c r="G55" s="605" t="s">
        <v>1318</v>
      </c>
      <c r="H55" s="507">
        <v>0.2</v>
      </c>
      <c r="I55" s="481" t="s">
        <v>956</v>
      </c>
      <c r="J55" s="482">
        <v>1</v>
      </c>
    </row>
    <row r="56" spans="1:10" s="59" customFormat="1" ht="19.5" customHeight="1">
      <c r="A56" s="1383"/>
      <c r="B56" s="1385"/>
      <c r="C56" s="1386"/>
      <c r="D56" s="505"/>
      <c r="E56" s="578" t="s">
        <v>28</v>
      </c>
      <c r="F56" s="606"/>
      <c r="G56" s="467"/>
      <c r="H56" s="430"/>
      <c r="I56" s="569"/>
      <c r="J56" s="560"/>
    </row>
    <row r="57" spans="1:10" s="59" customFormat="1" ht="17.25">
      <c r="A57" s="1384"/>
      <c r="B57" s="493" t="s">
        <v>1324</v>
      </c>
      <c r="C57" s="508">
        <f>E55*(H53*J53+H54*J54+H55*J55)</f>
        <v>7.0000000000000007E-2</v>
      </c>
      <c r="D57" s="461"/>
      <c r="E57" s="496"/>
      <c r="F57" s="604"/>
      <c r="G57" s="467"/>
      <c r="H57" s="430"/>
      <c r="I57" s="569"/>
      <c r="J57" s="560"/>
    </row>
    <row r="58" spans="1:10" s="59" customFormat="1" ht="50.25" customHeight="1">
      <c r="A58" s="1372" t="s">
        <v>509</v>
      </c>
      <c r="B58" s="1361" t="s">
        <v>510</v>
      </c>
      <c r="C58" s="1362"/>
      <c r="D58" s="447"/>
      <c r="E58" s="448"/>
      <c r="F58" s="2" t="s">
        <v>513</v>
      </c>
      <c r="G58" s="506" t="s">
        <v>1320</v>
      </c>
      <c r="H58" s="507">
        <v>0.48</v>
      </c>
      <c r="I58" s="481" t="s">
        <v>957</v>
      </c>
      <c r="J58" s="482">
        <v>1</v>
      </c>
    </row>
    <row r="59" spans="1:10" s="59" customFormat="1" ht="68.25" customHeight="1">
      <c r="A59" s="1372"/>
      <c r="B59" s="1377" t="s">
        <v>646</v>
      </c>
      <c r="C59" s="1378"/>
      <c r="D59" s="487" t="s">
        <v>1329</v>
      </c>
      <c r="E59" s="437">
        <v>7.0000000000000007E-2</v>
      </c>
      <c r="F59" s="2" t="s">
        <v>352</v>
      </c>
      <c r="G59" s="506" t="s">
        <v>1322</v>
      </c>
      <c r="H59" s="507">
        <v>0.2</v>
      </c>
      <c r="I59" s="481" t="s">
        <v>958</v>
      </c>
      <c r="J59" s="482">
        <v>1</v>
      </c>
    </row>
    <row r="60" spans="1:10" s="59" customFormat="1" ht="84.75" customHeight="1">
      <c r="A60" s="1372"/>
      <c r="B60" s="493" t="s">
        <v>1331</v>
      </c>
      <c r="C60" s="508">
        <f>E59*(H58*J58+H59*J59+H60*J60)</f>
        <v>7.0000000000000007E-2</v>
      </c>
      <c r="D60" s="557"/>
      <c r="E60" s="572" t="s">
        <v>36</v>
      </c>
      <c r="F60" s="46" t="s">
        <v>1</v>
      </c>
      <c r="G60" s="498" t="s">
        <v>1323</v>
      </c>
      <c r="H60" s="425">
        <v>0.32</v>
      </c>
      <c r="I60" s="426" t="s">
        <v>959</v>
      </c>
      <c r="J60" s="427">
        <v>1</v>
      </c>
    </row>
    <row r="61" spans="1:10" ht="19.5" customHeight="1">
      <c r="A61" s="513"/>
      <c r="B61" s="514" t="s">
        <v>769</v>
      </c>
      <c r="C61" s="587">
        <f>SUM(C10,C19,C23,C27,C33,C36,C41,C46,C52,C57,C60)</f>
        <v>1</v>
      </c>
      <c r="D61" s="589"/>
      <c r="E61" s="589"/>
      <c r="F61" s="589"/>
      <c r="G61" s="589"/>
      <c r="H61" s="589"/>
      <c r="I61" s="589"/>
      <c r="J61" s="589"/>
    </row>
    <row r="62" spans="1:10" s="59" customFormat="1" ht="19.5" customHeight="1">
      <c r="A62" s="607"/>
      <c r="B62" s="608"/>
      <c r="C62" s="517" t="s">
        <v>444</v>
      </c>
      <c r="D62" s="608"/>
      <c r="E62" s="519"/>
      <c r="F62" s="519" t="str">
        <f>IF(C61&lt;=0.5,"низький",IF(C61&lt;=0.75,"середній",(IF(C61&lt;=0.95,"достатній",(IF(C61&lt;=1,"високий"))))))</f>
        <v>високий</v>
      </c>
      <c r="G62" s="608"/>
      <c r="H62" s="608"/>
      <c r="I62" s="608"/>
      <c r="J62" s="608"/>
    </row>
    <row r="63" spans="1:10" ht="19.5" customHeight="1">
      <c r="A63" s="584"/>
      <c r="B63" s="385" t="s">
        <v>984</v>
      </c>
    </row>
    <row r="64" spans="1:10" ht="54" customHeight="1">
      <c r="A64" s="584"/>
      <c r="B64" s="1424" t="s">
        <v>985</v>
      </c>
      <c r="C64" s="1424"/>
      <c r="D64" s="1424"/>
      <c r="E64" s="1424"/>
      <c r="F64" s="1424"/>
      <c r="G64" s="1424"/>
      <c r="H64" s="1424"/>
      <c r="I64" s="1424"/>
      <c r="J64" s="1424"/>
    </row>
    <row r="65" spans="1:7" ht="13.5" customHeight="1">
      <c r="A65" s="584"/>
      <c r="B65" s="385"/>
    </row>
    <row r="66" spans="1:7" s="302" customFormat="1">
      <c r="A66" s="288" t="s">
        <v>182</v>
      </c>
      <c r="B66" s="289"/>
      <c r="C66" s="342"/>
      <c r="E66" s="343"/>
      <c r="F66" s="344"/>
      <c r="G66" s="112"/>
    </row>
    <row r="67" spans="1:7" s="302" customFormat="1" ht="17.25">
      <c r="A67" s="345" t="s">
        <v>589</v>
      </c>
      <c r="B67" s="346"/>
      <c r="C67" s="347"/>
      <c r="D67" s="303"/>
      <c r="E67" s="348"/>
      <c r="F67" s="349"/>
      <c r="G67" s="112"/>
    </row>
    <row r="68" spans="1:7" s="302" customFormat="1" ht="17.25">
      <c r="A68" s="345" t="s">
        <v>590</v>
      </c>
      <c r="B68" s="346"/>
      <c r="C68" s="347"/>
      <c r="D68" s="303"/>
      <c r="E68" s="348"/>
      <c r="F68" s="349"/>
      <c r="G68" s="112"/>
    </row>
    <row r="69" spans="1:7" s="302" customFormat="1" ht="17.25">
      <c r="A69" s="345" t="s">
        <v>591</v>
      </c>
      <c r="B69" s="346"/>
      <c r="C69" s="347"/>
      <c r="D69" s="303"/>
      <c r="E69" s="348"/>
      <c r="F69" s="349"/>
      <c r="G69" s="112"/>
    </row>
    <row r="70" spans="1:7" s="302" customFormat="1" ht="17.25">
      <c r="A70" s="345" t="s">
        <v>592</v>
      </c>
      <c r="B70" s="346"/>
      <c r="C70" s="347"/>
      <c r="D70" s="303"/>
      <c r="E70" s="348"/>
      <c r="F70" s="349"/>
      <c r="G70" s="112"/>
    </row>
    <row r="71" spans="1:7" s="302" customFormat="1" ht="17.25">
      <c r="A71" s="345" t="s">
        <v>593</v>
      </c>
      <c r="B71" s="346"/>
      <c r="C71" s="347"/>
      <c r="D71" s="303"/>
      <c r="E71" s="348"/>
      <c r="F71" s="349"/>
      <c r="G71" s="112"/>
    </row>
    <row r="72" spans="1:7" s="302" customFormat="1" ht="17.25">
      <c r="A72" s="345" t="s">
        <v>594</v>
      </c>
      <c r="B72" s="346"/>
      <c r="C72" s="347"/>
      <c r="D72" s="303"/>
      <c r="E72" s="348"/>
      <c r="F72" s="349"/>
      <c r="G72" s="112"/>
    </row>
    <row r="73" spans="1:7" s="302" customFormat="1" ht="17.25">
      <c r="A73" s="345" t="s">
        <v>595</v>
      </c>
      <c r="B73" s="346"/>
      <c r="C73" s="347"/>
      <c r="D73" s="303"/>
      <c r="E73" s="348"/>
      <c r="F73" s="349"/>
      <c r="G73" s="112"/>
    </row>
    <row r="74" spans="1:7" s="302" customFormat="1">
      <c r="A74" s="350" t="s">
        <v>596</v>
      </c>
      <c r="B74" s="346"/>
      <c r="C74" s="347"/>
      <c r="D74" s="303"/>
      <c r="E74" s="348"/>
      <c r="F74" s="349"/>
      <c r="G74" s="112"/>
    </row>
    <row r="75" spans="1:7" s="302" customFormat="1">
      <c r="A75" s="345" t="s">
        <v>597</v>
      </c>
      <c r="B75" s="346"/>
      <c r="C75" s="347"/>
      <c r="D75" s="303"/>
      <c r="E75" s="348"/>
      <c r="F75" s="349"/>
      <c r="G75" s="112"/>
    </row>
    <row r="76" spans="1:7" s="302" customFormat="1">
      <c r="A76" s="288" t="s">
        <v>792</v>
      </c>
      <c r="B76" s="346"/>
      <c r="C76" s="347"/>
      <c r="D76" s="303"/>
      <c r="E76" s="348"/>
      <c r="F76" s="349"/>
      <c r="G76" s="112"/>
    </row>
    <row r="77" spans="1:7" s="302" customFormat="1">
      <c r="A77" s="288" t="s">
        <v>793</v>
      </c>
      <c r="B77" s="346"/>
      <c r="C77" s="347"/>
      <c r="D77" s="303"/>
      <c r="E77" s="348"/>
      <c r="F77" s="349"/>
      <c r="G77" s="112"/>
    </row>
    <row r="78" spans="1:7" s="302" customFormat="1">
      <c r="A78" s="288" t="s">
        <v>794</v>
      </c>
      <c r="B78" s="346"/>
      <c r="C78" s="347"/>
      <c r="D78" s="303"/>
      <c r="E78" s="348"/>
      <c r="F78" s="349"/>
      <c r="G78" s="112"/>
    </row>
    <row r="79" spans="1:7" s="302" customFormat="1">
      <c r="A79" s="342"/>
      <c r="B79" s="342" t="s">
        <v>20</v>
      </c>
      <c r="C79" s="342"/>
      <c r="D79" s="342"/>
      <c r="E79" s="342"/>
      <c r="F79" s="342"/>
      <c r="G79" s="342"/>
    </row>
    <row r="80" spans="1:7" s="302" customFormat="1">
      <c r="A80" s="351"/>
      <c r="B80" s="351"/>
      <c r="C80" s="351"/>
      <c r="D80" s="351"/>
      <c r="E80" s="351"/>
      <c r="F80" s="351"/>
      <c r="G80" s="351"/>
    </row>
    <row r="81" spans="1:7" s="302" customFormat="1">
      <c r="A81" s="351"/>
      <c r="B81" s="351"/>
      <c r="C81" s="351"/>
      <c r="D81" s="351"/>
      <c r="E81" s="351"/>
      <c r="F81" s="351"/>
      <c r="G81" s="351"/>
    </row>
    <row r="82" spans="1:7" s="302" customFormat="1">
      <c r="A82" s="351"/>
      <c r="B82" s="351"/>
      <c r="C82" s="351"/>
      <c r="D82" s="351"/>
      <c r="E82" s="351"/>
      <c r="F82" s="351"/>
      <c r="G82" s="351"/>
    </row>
    <row r="83" spans="1:7" s="302" customFormat="1">
      <c r="A83" s="351"/>
      <c r="B83" s="351"/>
      <c r="C83" s="351"/>
      <c r="D83" s="351"/>
      <c r="E83" s="351"/>
      <c r="F83" s="351"/>
      <c r="G83" s="351"/>
    </row>
    <row r="84" spans="1:7" s="302" customFormat="1">
      <c r="A84" s="351"/>
      <c r="B84" s="351"/>
      <c r="C84" s="351"/>
      <c r="D84" s="351"/>
      <c r="E84" s="351"/>
      <c r="F84" s="351"/>
      <c r="G84" s="351"/>
    </row>
    <row r="85" spans="1:7" s="302" customFormat="1">
      <c r="A85" s="351"/>
      <c r="B85" s="351"/>
      <c r="C85" s="351"/>
      <c r="D85" s="351"/>
      <c r="E85" s="351"/>
      <c r="F85" s="351"/>
      <c r="G85" s="351"/>
    </row>
    <row r="86" spans="1:7" s="302" customFormat="1">
      <c r="A86" s="351"/>
      <c r="B86" s="351"/>
      <c r="C86" s="351"/>
      <c r="D86" s="351"/>
      <c r="E86" s="351"/>
      <c r="F86" s="351"/>
      <c r="G86" s="351"/>
    </row>
    <row r="87" spans="1:7" s="302" customFormat="1">
      <c r="A87" s="351"/>
      <c r="B87" s="351"/>
      <c r="C87" s="351"/>
      <c r="D87" s="351"/>
      <c r="E87" s="351"/>
      <c r="F87" s="351"/>
      <c r="G87" s="351"/>
    </row>
    <row r="88" spans="1:7" s="302" customFormat="1">
      <c r="A88" s="351"/>
      <c r="B88" s="351"/>
      <c r="C88" s="351"/>
      <c r="D88" s="351"/>
      <c r="E88" s="351"/>
      <c r="F88" s="351"/>
      <c r="G88" s="351"/>
    </row>
    <row r="89" spans="1:7" s="302" customFormat="1">
      <c r="A89" s="351"/>
      <c r="B89" s="351"/>
      <c r="C89" s="351"/>
      <c r="D89" s="351"/>
      <c r="E89" s="351"/>
      <c r="F89" s="351"/>
      <c r="G89" s="351"/>
    </row>
    <row r="90" spans="1:7" s="302" customFormat="1">
      <c r="A90" s="351"/>
      <c r="B90" s="351"/>
      <c r="C90" s="351"/>
      <c r="D90" s="351"/>
      <c r="E90" s="351"/>
      <c r="F90" s="351"/>
      <c r="G90" s="351"/>
    </row>
    <row r="91" spans="1:7" s="302" customFormat="1">
      <c r="A91" s="351"/>
      <c r="B91" s="351"/>
      <c r="C91" s="351"/>
      <c r="D91" s="351"/>
      <c r="E91" s="351"/>
      <c r="F91" s="351"/>
      <c r="G91" s="351"/>
    </row>
    <row r="92" spans="1:7" s="302" customFormat="1">
      <c r="A92" s="351"/>
      <c r="B92" s="351"/>
      <c r="C92" s="351"/>
      <c r="D92" s="351"/>
      <c r="E92" s="351"/>
      <c r="F92" s="351"/>
      <c r="G92" s="351"/>
    </row>
    <row r="93" spans="1:7" s="302" customFormat="1">
      <c r="A93" s="351"/>
      <c r="B93" s="351"/>
      <c r="C93" s="351"/>
      <c r="D93" s="351"/>
      <c r="E93" s="351"/>
      <c r="F93" s="351"/>
      <c r="G93" s="351"/>
    </row>
    <row r="94" spans="1:7" s="302" customFormat="1">
      <c r="A94" s="342"/>
      <c r="B94" s="352" t="s">
        <v>2418</v>
      </c>
      <c r="C94" s="352"/>
      <c r="D94" s="352"/>
      <c r="E94" s="352"/>
      <c r="F94" s="352"/>
      <c r="G94" s="352"/>
    </row>
    <row r="95" spans="1:7" s="302" customFormat="1">
      <c r="A95" s="342"/>
      <c r="B95" s="353"/>
      <c r="C95" s="353"/>
      <c r="D95" s="353"/>
      <c r="E95" s="353"/>
      <c r="F95" s="353"/>
      <c r="G95" s="353"/>
    </row>
    <row r="96" spans="1:7" s="302" customFormat="1">
      <c r="A96" s="342"/>
      <c r="B96" s="352" t="s">
        <v>22</v>
      </c>
      <c r="C96" s="352"/>
      <c r="D96" s="352"/>
      <c r="E96" s="352"/>
      <c r="F96" s="352"/>
      <c r="G96" s="352"/>
    </row>
    <row r="97" spans="1:7" s="302" customFormat="1">
      <c r="A97" s="342"/>
      <c r="B97" s="353"/>
      <c r="C97" s="353"/>
      <c r="D97" s="353"/>
      <c r="E97" s="353"/>
      <c r="F97" s="353"/>
      <c r="G97" s="353"/>
    </row>
    <row r="98" spans="1:7" s="302" customFormat="1">
      <c r="A98" s="342"/>
      <c r="B98" s="352" t="s">
        <v>23</v>
      </c>
      <c r="C98" s="352"/>
      <c r="D98" s="352"/>
      <c r="E98" s="352"/>
      <c r="F98" s="352"/>
      <c r="G98" s="352"/>
    </row>
    <row r="99" spans="1:7" s="302" customFormat="1">
      <c r="A99" s="342"/>
      <c r="B99" s="352" t="s">
        <v>24</v>
      </c>
      <c r="C99" s="352"/>
      <c r="D99" s="352"/>
      <c r="E99" s="352"/>
      <c r="F99" s="352"/>
      <c r="G99" s="352"/>
    </row>
    <row r="100" spans="1:7" s="303" customFormat="1">
      <c r="A100" s="346"/>
      <c r="B100" s="346"/>
      <c r="E100" s="333"/>
    </row>
  </sheetData>
  <mergeCells count="52">
    <mergeCell ref="A47:A52"/>
    <mergeCell ref="B47:C47"/>
    <mergeCell ref="B48:C50"/>
    <mergeCell ref="A37:A41"/>
    <mergeCell ref="B37:C39"/>
    <mergeCell ref="B40:C40"/>
    <mergeCell ref="A42:A46"/>
    <mergeCell ref="B42:C43"/>
    <mergeCell ref="B44:C45"/>
    <mergeCell ref="B15:C15"/>
    <mergeCell ref="B6:C6"/>
    <mergeCell ref="B18:C18"/>
    <mergeCell ref="A20:A23"/>
    <mergeCell ref="B20:C20"/>
    <mergeCell ref="B21:C22"/>
    <mergeCell ref="A11:A19"/>
    <mergeCell ref="B12:C14"/>
    <mergeCell ref="B16:C16"/>
    <mergeCell ref="B11:C11"/>
    <mergeCell ref="B17:C17"/>
    <mergeCell ref="A1:J1"/>
    <mergeCell ref="A7:A10"/>
    <mergeCell ref="B7:C7"/>
    <mergeCell ref="B8:C9"/>
    <mergeCell ref="F9:F10"/>
    <mergeCell ref="A2:J2"/>
    <mergeCell ref="A3:J3"/>
    <mergeCell ref="A4:J4"/>
    <mergeCell ref="D6:E6"/>
    <mergeCell ref="G6:H6"/>
    <mergeCell ref="I6:J6"/>
    <mergeCell ref="F32:F33"/>
    <mergeCell ref="A24:A27"/>
    <mergeCell ref="B24:C24"/>
    <mergeCell ref="B25:C26"/>
    <mergeCell ref="F26:F27"/>
    <mergeCell ref="A28:A30"/>
    <mergeCell ref="B28:C28"/>
    <mergeCell ref="B29:C29"/>
    <mergeCell ref="A34:A36"/>
    <mergeCell ref="B34:C34"/>
    <mergeCell ref="B35:C35"/>
    <mergeCell ref="A31:A33"/>
    <mergeCell ref="B32:C32"/>
    <mergeCell ref="B31:C31"/>
    <mergeCell ref="B64:J64"/>
    <mergeCell ref="A53:A57"/>
    <mergeCell ref="B53:C54"/>
    <mergeCell ref="B55:C56"/>
    <mergeCell ref="A58:A60"/>
    <mergeCell ref="B58:C58"/>
    <mergeCell ref="B59:C59"/>
  </mergeCells>
  <phoneticPr fontId="4" type="noConversion"/>
  <pageMargins left="0.7" right="0.7" top="0.75" bottom="0.75" header="0.3" footer="0.3"/>
  <pageSetup paperSize="9" scale="80" orientation="portrait" r:id="rId1"/>
</worksheet>
</file>

<file path=xl/worksheets/sheet5.xml><?xml version="1.0" encoding="utf-8"?>
<worksheet xmlns="http://schemas.openxmlformats.org/spreadsheetml/2006/main" xmlns:r="http://schemas.openxmlformats.org/officeDocument/2006/relationships">
  <sheetPr>
    <tabColor rgb="FF00B050"/>
  </sheetPr>
  <dimension ref="A1:J139"/>
  <sheetViews>
    <sheetView topLeftCell="A5" workbookViewId="0">
      <selection activeCell="D10" sqref="D10"/>
    </sheetView>
  </sheetViews>
  <sheetFormatPr defaultRowHeight="15.75"/>
  <cols>
    <col min="1" max="1" width="7" style="81" bestFit="1" customWidth="1"/>
    <col min="2" max="2" width="20.85546875" style="115" customWidth="1"/>
    <col min="3" max="3" width="11.5703125" style="289" customWidth="1"/>
    <col min="4" max="4" width="40.42578125" style="25" customWidth="1"/>
    <col min="5" max="5" width="13.85546875" style="63" customWidth="1"/>
    <col min="6" max="6" width="14.5703125" style="101" bestFit="1" customWidth="1"/>
    <col min="7" max="7" width="17.85546875" style="101" customWidth="1"/>
    <col min="8" max="16384" width="9.140625" style="101"/>
  </cols>
  <sheetData>
    <row r="1" spans="1:7">
      <c r="A1" s="1132" t="s">
        <v>446</v>
      </c>
      <c r="B1" s="1132"/>
      <c r="C1" s="1132"/>
      <c r="D1" s="1132"/>
      <c r="E1" s="1132"/>
      <c r="F1" s="1132"/>
      <c r="G1" s="1132"/>
    </row>
    <row r="2" spans="1:7" ht="41.25" customHeight="1">
      <c r="A2" s="1131" t="s">
        <v>796</v>
      </c>
      <c r="B2" s="1132"/>
      <c r="C2" s="1132"/>
      <c r="D2" s="1132"/>
      <c r="E2" s="1132"/>
      <c r="F2" s="1132"/>
      <c r="G2" s="1132"/>
    </row>
    <row r="3" spans="1:7" ht="63">
      <c r="A3" s="5" t="s">
        <v>434</v>
      </c>
      <c r="B3" s="5" t="s">
        <v>338</v>
      </c>
      <c r="C3" s="5" t="s">
        <v>771</v>
      </c>
      <c r="D3" s="5" t="s">
        <v>333</v>
      </c>
      <c r="E3" s="5" t="s">
        <v>337</v>
      </c>
      <c r="F3" s="5" t="s">
        <v>770</v>
      </c>
      <c r="G3" s="5" t="s">
        <v>82</v>
      </c>
    </row>
    <row r="4" spans="1:7" ht="63">
      <c r="A4" s="655">
        <v>1</v>
      </c>
      <c r="B4" s="656" t="s">
        <v>60</v>
      </c>
      <c r="C4" s="655"/>
      <c r="D4" s="282" t="s">
        <v>1075</v>
      </c>
      <c r="E4" s="648">
        <v>0.4</v>
      </c>
      <c r="F4" s="657"/>
      <c r="G4" s="653">
        <f>F4*E4</f>
        <v>0</v>
      </c>
    </row>
    <row r="5" spans="1:7" ht="63">
      <c r="A5" s="655"/>
      <c r="B5" s="655"/>
      <c r="C5" s="655"/>
      <c r="D5" s="283" t="s">
        <v>1593</v>
      </c>
      <c r="E5" s="648">
        <v>0.3</v>
      </c>
      <c r="F5" s="657"/>
      <c r="G5" s="653">
        <f>F5*E5</f>
        <v>0</v>
      </c>
    </row>
    <row r="6" spans="1:7" ht="78.75">
      <c r="A6" s="655"/>
      <c r="B6" s="655"/>
      <c r="C6" s="655"/>
      <c r="D6" s="282" t="s">
        <v>1078</v>
      </c>
      <c r="E6" s="648">
        <v>0.2</v>
      </c>
      <c r="F6" s="657"/>
      <c r="G6" s="653">
        <f>F6*E6</f>
        <v>0</v>
      </c>
    </row>
    <row r="7" spans="1:7" ht="47.25">
      <c r="A7" s="655"/>
      <c r="B7" s="655"/>
      <c r="C7" s="655"/>
      <c r="D7" s="282" t="s">
        <v>1077</v>
      </c>
      <c r="E7" s="648">
        <v>0.1</v>
      </c>
      <c r="F7" s="657"/>
      <c r="G7" s="653">
        <f>F7*E7</f>
        <v>0</v>
      </c>
    </row>
    <row r="8" spans="1:7">
      <c r="A8" s="27"/>
      <c r="B8" s="28" t="s">
        <v>848</v>
      </c>
      <c r="C8" s="27">
        <v>7.0000000000000007E-2</v>
      </c>
      <c r="D8" s="49"/>
      <c r="E8" s="29">
        <f>SUM(E4:E7)</f>
        <v>0.99999999999999989</v>
      </c>
      <c r="F8" s="615" t="s">
        <v>46</v>
      </c>
      <c r="G8" s="29">
        <f>SUM(G4:G7)*C8</f>
        <v>0</v>
      </c>
    </row>
    <row r="9" spans="1:7" ht="63">
      <c r="A9" s="655">
        <v>2</v>
      </c>
      <c r="B9" s="647" t="s">
        <v>445</v>
      </c>
      <c r="C9" s="658"/>
      <c r="D9" s="659" t="s">
        <v>1079</v>
      </c>
      <c r="E9" s="653">
        <v>0.33</v>
      </c>
      <c r="F9" s="660"/>
      <c r="G9" s="653">
        <f>F9*E9</f>
        <v>0</v>
      </c>
    </row>
    <row r="10" spans="1:7" ht="252">
      <c r="A10" s="655"/>
      <c r="B10" s="647"/>
      <c r="C10" s="658"/>
      <c r="D10" s="659" t="s">
        <v>417</v>
      </c>
      <c r="E10" s="653">
        <v>0.67</v>
      </c>
      <c r="F10" s="660"/>
      <c r="G10" s="653">
        <f>F10*E10</f>
        <v>0</v>
      </c>
    </row>
    <row r="11" spans="1:7">
      <c r="A11" s="27"/>
      <c r="B11" s="28" t="s">
        <v>848</v>
      </c>
      <c r="C11" s="27">
        <v>0.04</v>
      </c>
      <c r="D11" s="45"/>
      <c r="E11" s="29">
        <f>SUM(E9:E10)</f>
        <v>1</v>
      </c>
      <c r="F11" s="615" t="s">
        <v>47</v>
      </c>
      <c r="G11" s="29">
        <f>SUM(G9:G10)*C11</f>
        <v>0</v>
      </c>
    </row>
    <row r="12" spans="1:7" ht="37.5" customHeight="1">
      <c r="A12" s="655">
        <v>3</v>
      </c>
      <c r="B12" s="658" t="s">
        <v>62</v>
      </c>
      <c r="C12" s="655"/>
      <c r="D12" s="282" t="s">
        <v>1080</v>
      </c>
      <c r="E12" s="648">
        <v>0.4</v>
      </c>
      <c r="F12" s="660"/>
      <c r="G12" s="653">
        <f>F12*E12</f>
        <v>0</v>
      </c>
    </row>
    <row r="13" spans="1:7" ht="31.5">
      <c r="A13" s="655"/>
      <c r="B13" s="658"/>
      <c r="C13" s="655"/>
      <c r="D13" s="282" t="s">
        <v>1081</v>
      </c>
      <c r="E13" s="648">
        <v>0.3</v>
      </c>
      <c r="F13" s="660"/>
      <c r="G13" s="653">
        <f>F13*E13</f>
        <v>0</v>
      </c>
    </row>
    <row r="14" spans="1:7" ht="31.5">
      <c r="A14" s="655"/>
      <c r="B14" s="658"/>
      <c r="C14" s="655"/>
      <c r="D14" s="282" t="s">
        <v>1083</v>
      </c>
      <c r="E14" s="648">
        <v>0.3</v>
      </c>
      <c r="F14" s="660"/>
      <c r="G14" s="653">
        <f>F14*E14</f>
        <v>0</v>
      </c>
    </row>
    <row r="15" spans="1:7">
      <c r="A15" s="27"/>
      <c r="B15" s="28" t="s">
        <v>848</v>
      </c>
      <c r="C15" s="27">
        <v>0.02</v>
      </c>
      <c r="D15" s="32"/>
      <c r="E15" s="29">
        <f>SUM(E12:E14)</f>
        <v>1</v>
      </c>
      <c r="F15" s="615" t="s">
        <v>48</v>
      </c>
      <c r="G15" s="29">
        <f>SUM(G12:G14)*C15</f>
        <v>0</v>
      </c>
    </row>
    <row r="16" spans="1:7" ht="31.5">
      <c r="A16" s="655">
        <v>4</v>
      </c>
      <c r="B16" s="647" t="s">
        <v>63</v>
      </c>
      <c r="C16" s="658"/>
      <c r="D16" s="282" t="s">
        <v>1084</v>
      </c>
      <c r="E16" s="653">
        <v>0.67</v>
      </c>
      <c r="F16" s="660"/>
      <c r="G16" s="653">
        <f>F16*E16</f>
        <v>0</v>
      </c>
    </row>
    <row r="17" spans="1:7" ht="47.25">
      <c r="A17" s="655"/>
      <c r="B17" s="647"/>
      <c r="C17" s="658"/>
      <c r="D17" s="282" t="s">
        <v>798</v>
      </c>
      <c r="E17" s="653">
        <v>0.33</v>
      </c>
      <c r="F17" s="660"/>
      <c r="G17" s="653">
        <f>F17*E17</f>
        <v>0</v>
      </c>
    </row>
    <row r="18" spans="1:7">
      <c r="A18" s="27"/>
      <c r="B18" s="28" t="s">
        <v>848</v>
      </c>
      <c r="C18" s="27">
        <v>0.03</v>
      </c>
      <c r="D18" s="32"/>
      <c r="E18" s="29">
        <f>SUM(E16:E17)</f>
        <v>1</v>
      </c>
      <c r="F18" s="615" t="s">
        <v>49</v>
      </c>
      <c r="G18" s="29">
        <f>SUM(G16:G17)*C18</f>
        <v>0</v>
      </c>
    </row>
    <row r="19" spans="1:7" ht="31.5">
      <c r="A19" s="655">
        <v>5</v>
      </c>
      <c r="B19" s="647" t="s">
        <v>64</v>
      </c>
      <c r="C19" s="658"/>
      <c r="D19" s="282" t="s">
        <v>1086</v>
      </c>
      <c r="E19" s="653">
        <v>0.13</v>
      </c>
      <c r="F19" s="660"/>
      <c r="G19" s="653">
        <f>F19*E19</f>
        <v>0</v>
      </c>
    </row>
    <row r="20" spans="1:7" ht="31.5">
      <c r="A20" s="655"/>
      <c r="B20" s="647"/>
      <c r="C20" s="658"/>
      <c r="D20" s="282" t="s">
        <v>1084</v>
      </c>
      <c r="E20" s="653">
        <v>0.35</v>
      </c>
      <c r="F20" s="660"/>
      <c r="G20" s="653">
        <f>F20*E20</f>
        <v>0</v>
      </c>
    </row>
    <row r="21" spans="1:7" ht="47.25">
      <c r="A21" s="655"/>
      <c r="B21" s="647"/>
      <c r="C21" s="658"/>
      <c r="D21" s="282" t="s">
        <v>1087</v>
      </c>
      <c r="E21" s="653">
        <v>0.27</v>
      </c>
      <c r="F21" s="660"/>
      <c r="G21" s="653">
        <f>F21*E21</f>
        <v>0</v>
      </c>
    </row>
    <row r="22" spans="1:7" ht="31.5">
      <c r="A22" s="655"/>
      <c r="B22" s="647"/>
      <c r="C22" s="658"/>
      <c r="D22" s="282" t="s">
        <v>1088</v>
      </c>
      <c r="E22" s="653">
        <v>0.18</v>
      </c>
      <c r="F22" s="660"/>
      <c r="G22" s="653">
        <f>F22*E22</f>
        <v>0</v>
      </c>
    </row>
    <row r="23" spans="1:7" ht="47.25">
      <c r="A23" s="655"/>
      <c r="B23" s="647"/>
      <c r="C23" s="658"/>
      <c r="D23" s="282" t="s">
        <v>1089</v>
      </c>
      <c r="E23" s="653">
        <v>7.0000000000000007E-2</v>
      </c>
      <c r="F23" s="660"/>
      <c r="G23" s="653">
        <f>F23*E23</f>
        <v>0</v>
      </c>
    </row>
    <row r="24" spans="1:7">
      <c r="A24" s="27"/>
      <c r="B24" s="28" t="s">
        <v>848</v>
      </c>
      <c r="C24" s="27">
        <v>0.08</v>
      </c>
      <c r="D24" s="32"/>
      <c r="E24" s="29">
        <f>SUM(E19:E23)</f>
        <v>1</v>
      </c>
      <c r="F24" s="615" t="s">
        <v>50</v>
      </c>
      <c r="G24" s="29">
        <f>SUM(G19:G23)*C24</f>
        <v>0</v>
      </c>
    </row>
    <row r="25" spans="1:7" ht="63">
      <c r="A25" s="655">
        <v>6</v>
      </c>
      <c r="B25" s="647" t="s">
        <v>45</v>
      </c>
      <c r="C25" s="658"/>
      <c r="D25" s="661" t="s">
        <v>1090</v>
      </c>
      <c r="E25" s="653">
        <v>0.3</v>
      </c>
      <c r="F25" s="660"/>
      <c r="G25" s="653">
        <f>F25*E25</f>
        <v>0</v>
      </c>
    </row>
    <row r="26" spans="1:7" ht="110.25">
      <c r="A26" s="655"/>
      <c r="B26" s="647"/>
      <c r="C26" s="658"/>
      <c r="D26" s="282" t="s">
        <v>1091</v>
      </c>
      <c r="E26" s="653">
        <v>0.42</v>
      </c>
      <c r="F26" s="660"/>
      <c r="G26" s="653">
        <f>F26*E26</f>
        <v>0</v>
      </c>
    </row>
    <row r="27" spans="1:7" ht="47.25">
      <c r="A27" s="655"/>
      <c r="B27" s="647"/>
      <c r="C27" s="658"/>
      <c r="D27" s="282" t="s">
        <v>799</v>
      </c>
      <c r="E27" s="653">
        <v>0.14000000000000001</v>
      </c>
      <c r="F27" s="660"/>
      <c r="G27" s="653">
        <f>F27*E27</f>
        <v>0</v>
      </c>
    </row>
    <row r="28" spans="1:7" ht="47.25">
      <c r="A28" s="655"/>
      <c r="B28" s="647"/>
      <c r="C28" s="658"/>
      <c r="D28" s="282" t="s">
        <v>1094</v>
      </c>
      <c r="E28" s="653">
        <v>0.14000000000000001</v>
      </c>
      <c r="F28" s="660"/>
      <c r="G28" s="653">
        <f>F28*E28</f>
        <v>0</v>
      </c>
    </row>
    <row r="29" spans="1:7">
      <c r="A29" s="27"/>
      <c r="B29" s="28" t="s">
        <v>848</v>
      </c>
      <c r="C29" s="27">
        <v>0.06</v>
      </c>
      <c r="D29" s="32"/>
      <c r="E29" s="29">
        <f>SUM(E25:E28)</f>
        <v>1</v>
      </c>
      <c r="F29" s="615" t="s">
        <v>51</v>
      </c>
      <c r="G29" s="29">
        <f>SUM(G25:G28)*C29</f>
        <v>0</v>
      </c>
    </row>
    <row r="30" spans="1:7" ht="78.75">
      <c r="A30" s="655">
        <v>7</v>
      </c>
      <c r="B30" s="647" t="s">
        <v>72</v>
      </c>
      <c r="C30" s="658"/>
      <c r="D30" s="282" t="s">
        <v>1095</v>
      </c>
      <c r="E30" s="653">
        <v>0.21</v>
      </c>
      <c r="F30" s="660"/>
      <c r="G30" s="653">
        <f>F30*E30</f>
        <v>0</v>
      </c>
    </row>
    <row r="31" spans="1:7" ht="47.25">
      <c r="A31" s="655"/>
      <c r="B31" s="647"/>
      <c r="C31" s="658"/>
      <c r="D31" s="282" t="s">
        <v>1096</v>
      </c>
      <c r="E31" s="653">
        <v>0.19</v>
      </c>
      <c r="F31" s="660"/>
      <c r="G31" s="653">
        <f>F31*E31</f>
        <v>0</v>
      </c>
    </row>
    <row r="32" spans="1:7" ht="47.25">
      <c r="A32" s="655"/>
      <c r="B32" s="647"/>
      <c r="C32" s="658"/>
      <c r="D32" s="283" t="s">
        <v>800</v>
      </c>
      <c r="E32" s="653">
        <v>0.19</v>
      </c>
      <c r="F32" s="660"/>
      <c r="G32" s="653">
        <f>F32*E32</f>
        <v>0</v>
      </c>
    </row>
    <row r="33" spans="1:8" ht="63">
      <c r="A33" s="655"/>
      <c r="B33" s="647"/>
      <c r="C33" s="658"/>
      <c r="D33" s="282" t="s">
        <v>1097</v>
      </c>
      <c r="E33" s="653">
        <v>0.28000000000000003</v>
      </c>
      <c r="F33" s="660"/>
      <c r="G33" s="653">
        <f>F33*E33</f>
        <v>0</v>
      </c>
    </row>
    <row r="34" spans="1:8" ht="63">
      <c r="A34" s="655"/>
      <c r="B34" s="647"/>
      <c r="C34" s="658"/>
      <c r="D34" s="282" t="s">
        <v>415</v>
      </c>
      <c r="E34" s="653">
        <v>0.13</v>
      </c>
      <c r="F34" s="660"/>
      <c r="G34" s="653">
        <f>F34*E34</f>
        <v>0</v>
      </c>
    </row>
    <row r="35" spans="1:8">
      <c r="A35" s="27"/>
      <c r="B35" s="28" t="s">
        <v>848</v>
      </c>
      <c r="C35" s="27">
        <v>7.0000000000000007E-2</v>
      </c>
      <c r="D35" s="32"/>
      <c r="E35" s="29">
        <f>SUM(E30:E34)</f>
        <v>1</v>
      </c>
      <c r="F35" s="615" t="s">
        <v>52</v>
      </c>
      <c r="G35" s="29">
        <f>SUM(G30:G34)*C35</f>
        <v>0</v>
      </c>
    </row>
    <row r="36" spans="1:8" ht="132" customHeight="1">
      <c r="A36" s="655">
        <v>8</v>
      </c>
      <c r="B36" s="647" t="s">
        <v>65</v>
      </c>
      <c r="C36" s="658"/>
      <c r="D36" s="282" t="s">
        <v>1098</v>
      </c>
      <c r="E36" s="648">
        <v>0.16</v>
      </c>
      <c r="F36" s="660"/>
      <c r="G36" s="653">
        <f t="shared" ref="G36:G45" si="0">F36*E36</f>
        <v>0</v>
      </c>
      <c r="H36" s="63"/>
    </row>
    <row r="37" spans="1:8" ht="47.25">
      <c r="A37" s="655"/>
      <c r="B37" s="647"/>
      <c r="C37" s="658"/>
      <c r="D37" s="283" t="s">
        <v>1099</v>
      </c>
      <c r="E37" s="648">
        <v>0.1</v>
      </c>
      <c r="F37" s="660"/>
      <c r="G37" s="653">
        <f t="shared" si="0"/>
        <v>0</v>
      </c>
      <c r="H37" s="63"/>
    </row>
    <row r="38" spans="1:8" ht="47.25">
      <c r="A38" s="655"/>
      <c r="B38" s="647"/>
      <c r="C38" s="658"/>
      <c r="D38" s="283" t="s">
        <v>1100</v>
      </c>
      <c r="E38" s="648">
        <v>0.1</v>
      </c>
      <c r="F38" s="660"/>
      <c r="G38" s="653">
        <f t="shared" si="0"/>
        <v>0</v>
      </c>
      <c r="H38" s="63"/>
    </row>
    <row r="39" spans="1:8" ht="94.5">
      <c r="A39" s="655"/>
      <c r="B39" s="647"/>
      <c r="C39" s="658"/>
      <c r="D39" s="283" t="s">
        <v>1101</v>
      </c>
      <c r="E39" s="648">
        <v>0.14000000000000001</v>
      </c>
      <c r="F39" s="660"/>
      <c r="G39" s="653">
        <f t="shared" si="0"/>
        <v>0</v>
      </c>
      <c r="H39" s="63"/>
    </row>
    <row r="40" spans="1:8" ht="47.25">
      <c r="A40" s="655"/>
      <c r="B40" s="647"/>
      <c r="C40" s="658"/>
      <c r="D40" s="283" t="s">
        <v>1102</v>
      </c>
      <c r="E40" s="648">
        <v>0.12</v>
      </c>
      <c r="F40" s="660"/>
      <c r="G40" s="653">
        <f t="shared" si="0"/>
        <v>0</v>
      </c>
      <c r="H40" s="63"/>
    </row>
    <row r="41" spans="1:8" ht="31.5">
      <c r="A41" s="655"/>
      <c r="B41" s="647"/>
      <c r="C41" s="658"/>
      <c r="D41" s="283" t="s">
        <v>1103</v>
      </c>
      <c r="E41" s="648">
        <v>0.16</v>
      </c>
      <c r="F41" s="660"/>
      <c r="G41" s="653">
        <f t="shared" si="0"/>
        <v>0</v>
      </c>
      <c r="H41" s="63"/>
    </row>
    <row r="42" spans="1:8" ht="47.25">
      <c r="A42" s="655"/>
      <c r="B42" s="647"/>
      <c r="C42" s="658"/>
      <c r="D42" s="283" t="s">
        <v>1104</v>
      </c>
      <c r="E42" s="648">
        <v>0.04</v>
      </c>
      <c r="F42" s="660"/>
      <c r="G42" s="653">
        <f t="shared" si="0"/>
        <v>0</v>
      </c>
      <c r="H42" s="63"/>
    </row>
    <row r="43" spans="1:8" ht="63" customHeight="1">
      <c r="A43" s="655"/>
      <c r="B43" s="647"/>
      <c r="C43" s="658"/>
      <c r="D43" s="283" t="s">
        <v>801</v>
      </c>
      <c r="E43" s="648">
        <v>0.04</v>
      </c>
      <c r="F43" s="660"/>
      <c r="G43" s="653">
        <f t="shared" si="0"/>
        <v>0</v>
      </c>
      <c r="H43" s="63"/>
    </row>
    <row r="44" spans="1:8" ht="47.25">
      <c r="A44" s="655"/>
      <c r="B44" s="647"/>
      <c r="C44" s="658"/>
      <c r="D44" s="283" t="s">
        <v>1105</v>
      </c>
      <c r="E44" s="648">
        <v>0.06</v>
      </c>
      <c r="F44" s="660"/>
      <c r="G44" s="653">
        <f t="shared" si="0"/>
        <v>0</v>
      </c>
      <c r="H44" s="63"/>
    </row>
    <row r="45" spans="1:8" ht="31.5">
      <c r="A45" s="655"/>
      <c r="B45" s="647"/>
      <c r="C45" s="658"/>
      <c r="D45" s="283" t="s">
        <v>1106</v>
      </c>
      <c r="E45" s="648">
        <v>0.08</v>
      </c>
      <c r="F45" s="660"/>
      <c r="G45" s="653">
        <f t="shared" si="0"/>
        <v>0</v>
      </c>
      <c r="H45" s="63"/>
    </row>
    <row r="46" spans="1:8">
      <c r="A46" s="27"/>
      <c r="B46" s="28" t="s">
        <v>848</v>
      </c>
      <c r="C46" s="249">
        <v>0.1</v>
      </c>
      <c r="D46" s="33"/>
      <c r="E46" s="34">
        <f>SUM(E36:E45)</f>
        <v>1.0000000000000002</v>
      </c>
      <c r="F46" s="615" t="s">
        <v>53</v>
      </c>
      <c r="G46" s="29">
        <f>SUM(G36:G45)*C46</f>
        <v>0</v>
      </c>
    </row>
    <row r="47" spans="1:8" ht="47.25">
      <c r="A47" s="655">
        <v>9</v>
      </c>
      <c r="B47" s="647" t="s">
        <v>73</v>
      </c>
      <c r="C47" s="658"/>
      <c r="D47" s="282" t="s">
        <v>1111</v>
      </c>
      <c r="E47" s="648">
        <v>0.22</v>
      </c>
      <c r="F47" s="660"/>
      <c r="G47" s="653">
        <f t="shared" ref="G47:G93" si="1">F47*E47</f>
        <v>0</v>
      </c>
    </row>
    <row r="48" spans="1:8" ht="31.5">
      <c r="A48" s="655"/>
      <c r="B48" s="647"/>
      <c r="C48" s="658"/>
      <c r="D48" s="282" t="s">
        <v>1112</v>
      </c>
      <c r="E48" s="648">
        <v>0.18</v>
      </c>
      <c r="F48" s="660"/>
      <c r="G48" s="653">
        <f t="shared" si="1"/>
        <v>0</v>
      </c>
    </row>
    <row r="49" spans="1:7" ht="63">
      <c r="A49" s="655"/>
      <c r="B49" s="647"/>
      <c r="C49" s="658"/>
      <c r="D49" s="282" t="s">
        <v>1113</v>
      </c>
      <c r="E49" s="648">
        <v>0.14000000000000001</v>
      </c>
      <c r="F49" s="660"/>
      <c r="G49" s="653">
        <f t="shared" si="1"/>
        <v>0</v>
      </c>
    </row>
    <row r="50" spans="1:7" ht="47.25">
      <c r="A50" s="655"/>
      <c r="B50" s="647"/>
      <c r="C50" s="658"/>
      <c r="D50" s="282" t="s">
        <v>1114</v>
      </c>
      <c r="E50" s="648">
        <v>0.25</v>
      </c>
      <c r="F50" s="660"/>
      <c r="G50" s="653">
        <f t="shared" si="1"/>
        <v>0</v>
      </c>
    </row>
    <row r="51" spans="1:7" ht="31.5">
      <c r="A51" s="655"/>
      <c r="B51" s="647"/>
      <c r="C51" s="658"/>
      <c r="D51" s="282" t="s">
        <v>1115</v>
      </c>
      <c r="E51" s="648">
        <v>7.0000000000000007E-2</v>
      </c>
      <c r="F51" s="660"/>
      <c r="G51" s="653">
        <f t="shared" si="1"/>
        <v>0</v>
      </c>
    </row>
    <row r="52" spans="1:7" ht="31.5">
      <c r="A52" s="655"/>
      <c r="B52" s="647"/>
      <c r="C52" s="658"/>
      <c r="D52" s="282" t="s">
        <v>1116</v>
      </c>
      <c r="E52" s="648">
        <v>0.11</v>
      </c>
      <c r="F52" s="660"/>
      <c r="G52" s="653">
        <f t="shared" si="1"/>
        <v>0</v>
      </c>
    </row>
    <row r="53" spans="1:7">
      <c r="A53" s="655"/>
      <c r="B53" s="647"/>
      <c r="C53" s="658"/>
      <c r="D53" s="282" t="s">
        <v>1117</v>
      </c>
      <c r="E53" s="648">
        <v>0.03</v>
      </c>
      <c r="F53" s="660"/>
      <c r="G53" s="653">
        <f t="shared" si="1"/>
        <v>0</v>
      </c>
    </row>
    <row r="54" spans="1:7">
      <c r="A54" s="27"/>
      <c r="B54" s="28" t="s">
        <v>848</v>
      </c>
      <c r="C54" s="27">
        <v>0.09</v>
      </c>
      <c r="D54" s="32"/>
      <c r="E54" s="29">
        <f>SUM(E47:E53)</f>
        <v>1</v>
      </c>
      <c r="F54" s="615" t="s">
        <v>54</v>
      </c>
      <c r="G54" s="29">
        <f>SUM(G47:G53)*C54</f>
        <v>0</v>
      </c>
    </row>
    <row r="55" spans="1:7" ht="47.25">
      <c r="A55" s="655">
        <v>10</v>
      </c>
      <c r="B55" s="647" t="s">
        <v>437</v>
      </c>
      <c r="C55" s="658"/>
      <c r="D55" s="282" t="s">
        <v>1118</v>
      </c>
      <c r="E55" s="648">
        <v>0.18</v>
      </c>
      <c r="F55" s="660"/>
      <c r="G55" s="653">
        <f t="shared" si="1"/>
        <v>0</v>
      </c>
    </row>
    <row r="56" spans="1:7">
      <c r="A56" s="655"/>
      <c r="B56" s="647"/>
      <c r="C56" s="658"/>
      <c r="D56" s="282" t="s">
        <v>1111</v>
      </c>
      <c r="E56" s="648">
        <v>0.16</v>
      </c>
      <c r="F56" s="660"/>
      <c r="G56" s="653">
        <f t="shared" si="1"/>
        <v>0</v>
      </c>
    </row>
    <row r="57" spans="1:7" ht="47.25">
      <c r="A57" s="655"/>
      <c r="B57" s="647"/>
      <c r="C57" s="658"/>
      <c r="D57" s="282" t="s">
        <v>1119</v>
      </c>
      <c r="E57" s="648">
        <v>0.11</v>
      </c>
      <c r="F57" s="660"/>
      <c r="G57" s="653">
        <f t="shared" si="1"/>
        <v>0</v>
      </c>
    </row>
    <row r="58" spans="1:7" ht="31.5">
      <c r="A58" s="655"/>
      <c r="B58" s="647"/>
      <c r="C58" s="658"/>
      <c r="D58" s="282" t="s">
        <v>1120</v>
      </c>
      <c r="E58" s="648">
        <v>0.05</v>
      </c>
      <c r="F58" s="660"/>
      <c r="G58" s="653">
        <f t="shared" si="1"/>
        <v>0</v>
      </c>
    </row>
    <row r="59" spans="1:7" ht="31.5">
      <c r="A59" s="655"/>
      <c r="B59" s="647"/>
      <c r="C59" s="658"/>
      <c r="D59" s="282" t="s">
        <v>1121</v>
      </c>
      <c r="E59" s="648">
        <v>0.11</v>
      </c>
      <c r="F59" s="660"/>
      <c r="G59" s="653">
        <f t="shared" si="1"/>
        <v>0</v>
      </c>
    </row>
    <row r="60" spans="1:7" ht="47.25">
      <c r="A60" s="655"/>
      <c r="B60" s="647"/>
      <c r="C60" s="658"/>
      <c r="D60" s="282" t="s">
        <v>1122</v>
      </c>
      <c r="E60" s="648">
        <v>0.11</v>
      </c>
      <c r="F60" s="660"/>
      <c r="G60" s="653">
        <f t="shared" si="1"/>
        <v>0</v>
      </c>
    </row>
    <row r="61" spans="1:7">
      <c r="A61" s="655"/>
      <c r="B61" s="647"/>
      <c r="C61" s="658"/>
      <c r="D61" s="282" t="s">
        <v>1123</v>
      </c>
      <c r="E61" s="648">
        <v>7.0000000000000007E-2</v>
      </c>
      <c r="F61" s="660"/>
      <c r="G61" s="653">
        <f t="shared" si="1"/>
        <v>0</v>
      </c>
    </row>
    <row r="62" spans="1:7">
      <c r="A62" s="655"/>
      <c r="B62" s="647"/>
      <c r="C62" s="658"/>
      <c r="D62" s="282" t="s">
        <v>1124</v>
      </c>
      <c r="E62" s="648">
        <v>7.0000000000000007E-2</v>
      </c>
      <c r="F62" s="660"/>
      <c r="G62" s="653">
        <f t="shared" si="1"/>
        <v>0</v>
      </c>
    </row>
    <row r="63" spans="1:7" ht="31.5">
      <c r="A63" s="655"/>
      <c r="B63" s="647"/>
      <c r="C63" s="658"/>
      <c r="D63" s="282" t="s">
        <v>1125</v>
      </c>
      <c r="E63" s="648">
        <v>0.11</v>
      </c>
      <c r="F63" s="660"/>
      <c r="G63" s="653">
        <f t="shared" si="1"/>
        <v>0</v>
      </c>
    </row>
    <row r="64" spans="1:7">
      <c r="A64" s="655"/>
      <c r="B64" s="647"/>
      <c r="C64" s="658"/>
      <c r="D64" s="282" t="s">
        <v>1117</v>
      </c>
      <c r="E64" s="648">
        <v>0.03</v>
      </c>
      <c r="F64" s="660"/>
      <c r="G64" s="653">
        <f t="shared" si="1"/>
        <v>0</v>
      </c>
    </row>
    <row r="65" spans="1:10">
      <c r="A65" s="27"/>
      <c r="B65" s="28" t="s">
        <v>848</v>
      </c>
      <c r="C65" s="27">
        <v>7.0000000000000007E-2</v>
      </c>
      <c r="D65" s="32"/>
      <c r="E65" s="29">
        <f>SUM(E55:E64)</f>
        <v>1</v>
      </c>
      <c r="F65" s="615" t="s">
        <v>55</v>
      </c>
      <c r="G65" s="29">
        <f>SUM(G55:G64)*C65</f>
        <v>0</v>
      </c>
    </row>
    <row r="66" spans="1:10" ht="94.5">
      <c r="A66" s="655">
        <v>11</v>
      </c>
      <c r="B66" s="647" t="s">
        <v>70</v>
      </c>
      <c r="C66" s="655"/>
      <c r="D66" s="282" t="s">
        <v>1126</v>
      </c>
      <c r="E66" s="648">
        <v>0.18</v>
      </c>
      <c r="F66" s="660"/>
      <c r="G66" s="653">
        <f t="shared" si="1"/>
        <v>0</v>
      </c>
    </row>
    <row r="67" spans="1:10" ht="31.5">
      <c r="A67" s="655"/>
      <c r="B67" s="647"/>
      <c r="C67" s="655"/>
      <c r="D67" s="282" t="s">
        <v>1127</v>
      </c>
      <c r="E67" s="648">
        <v>0.14000000000000001</v>
      </c>
      <c r="F67" s="660"/>
      <c r="G67" s="653">
        <f t="shared" si="1"/>
        <v>0</v>
      </c>
    </row>
    <row r="68" spans="1:10" ht="31.5">
      <c r="A68" s="655"/>
      <c r="B68" s="647"/>
      <c r="C68" s="655"/>
      <c r="D68" s="283" t="s">
        <v>1128</v>
      </c>
      <c r="E68" s="648">
        <v>0.14000000000000001</v>
      </c>
      <c r="F68" s="660"/>
      <c r="G68" s="653">
        <f t="shared" si="1"/>
        <v>0</v>
      </c>
    </row>
    <row r="69" spans="1:10" ht="47.25">
      <c r="A69" s="655"/>
      <c r="B69" s="647"/>
      <c r="C69" s="655"/>
      <c r="D69" s="282" t="s">
        <v>1129</v>
      </c>
      <c r="E69" s="648">
        <v>0.18</v>
      </c>
      <c r="F69" s="660"/>
      <c r="G69" s="653">
        <f t="shared" si="1"/>
        <v>0</v>
      </c>
    </row>
    <row r="70" spans="1:10" ht="63">
      <c r="A70" s="655"/>
      <c r="B70" s="647"/>
      <c r="C70" s="655"/>
      <c r="D70" s="282" t="s">
        <v>1130</v>
      </c>
      <c r="E70" s="648">
        <v>0.18</v>
      </c>
      <c r="F70" s="660"/>
      <c r="G70" s="653">
        <f t="shared" si="1"/>
        <v>0</v>
      </c>
    </row>
    <row r="71" spans="1:10" ht="47.25">
      <c r="A71" s="655"/>
      <c r="B71" s="647"/>
      <c r="C71" s="655"/>
      <c r="D71" s="282" t="s">
        <v>1132</v>
      </c>
      <c r="E71" s="648">
        <v>0.18</v>
      </c>
      <c r="F71" s="660"/>
      <c r="G71" s="653">
        <f t="shared" si="1"/>
        <v>0</v>
      </c>
    </row>
    <row r="72" spans="1:10">
      <c r="A72" s="27"/>
      <c r="B72" s="28" t="s">
        <v>848</v>
      </c>
      <c r="C72" s="27">
        <v>0.06</v>
      </c>
      <c r="D72" s="32"/>
      <c r="E72" s="34">
        <f>SUM(E66:E71)</f>
        <v>1</v>
      </c>
      <c r="F72" s="615" t="s">
        <v>56</v>
      </c>
      <c r="G72" s="29">
        <f>SUM(G66:G71)*C72</f>
        <v>0</v>
      </c>
      <c r="I72" s="113"/>
      <c r="J72" s="113"/>
    </row>
    <row r="73" spans="1:10" ht="154.5" customHeight="1">
      <c r="A73" s="655">
        <v>12</v>
      </c>
      <c r="B73" s="647" t="s">
        <v>66</v>
      </c>
      <c r="C73" s="658"/>
      <c r="D73" s="282" t="s">
        <v>1133</v>
      </c>
      <c r="E73" s="648">
        <v>0.28000000000000003</v>
      </c>
      <c r="F73" s="660"/>
      <c r="G73" s="653">
        <f t="shared" si="1"/>
        <v>0</v>
      </c>
      <c r="I73" s="114"/>
      <c r="J73" s="113"/>
    </row>
    <row r="74" spans="1:10" ht="47.25">
      <c r="A74" s="655"/>
      <c r="B74" s="647"/>
      <c r="C74" s="658"/>
      <c r="D74" s="283" t="s">
        <v>1134</v>
      </c>
      <c r="E74" s="648">
        <v>0.21</v>
      </c>
      <c r="F74" s="660"/>
      <c r="G74" s="653">
        <f t="shared" si="1"/>
        <v>0</v>
      </c>
      <c r="I74" s="114"/>
      <c r="J74" s="113"/>
    </row>
    <row r="75" spans="1:10" ht="63">
      <c r="A75" s="655"/>
      <c r="B75" s="647"/>
      <c r="C75" s="658"/>
      <c r="D75" s="283" t="s">
        <v>1135</v>
      </c>
      <c r="E75" s="648">
        <v>0.35</v>
      </c>
      <c r="F75" s="660"/>
      <c r="G75" s="653">
        <f t="shared" si="1"/>
        <v>0</v>
      </c>
      <c r="I75" s="114"/>
      <c r="J75" s="113"/>
    </row>
    <row r="76" spans="1:10" ht="31.5">
      <c r="A76" s="655"/>
      <c r="B76" s="647"/>
      <c r="C76" s="663"/>
      <c r="D76" s="283" t="s">
        <v>1136</v>
      </c>
      <c r="E76" s="648">
        <v>0.08</v>
      </c>
      <c r="F76" s="664"/>
      <c r="G76" s="640">
        <f t="shared" si="1"/>
        <v>0</v>
      </c>
      <c r="I76" s="114"/>
      <c r="J76" s="113"/>
    </row>
    <row r="77" spans="1:10" ht="31.5">
      <c r="A77" s="655"/>
      <c r="B77" s="647"/>
      <c r="C77" s="663"/>
      <c r="D77" s="283" t="s">
        <v>1137</v>
      </c>
      <c r="E77" s="648">
        <v>0.08</v>
      </c>
      <c r="F77" s="664"/>
      <c r="G77" s="640">
        <f t="shared" si="1"/>
        <v>0</v>
      </c>
      <c r="I77" s="114"/>
      <c r="J77" s="113"/>
    </row>
    <row r="78" spans="1:10">
      <c r="A78" s="27"/>
      <c r="B78" s="28" t="s">
        <v>848</v>
      </c>
      <c r="C78" s="249">
        <v>7.0000000000000007E-2</v>
      </c>
      <c r="D78" s="33"/>
      <c r="E78" s="34">
        <f>SUM(E73:E77)</f>
        <v>0.99999999999999989</v>
      </c>
      <c r="F78" s="616" t="s">
        <v>57</v>
      </c>
      <c r="G78" s="34">
        <f>SUM(G73:G77)*C78</f>
        <v>0</v>
      </c>
      <c r="I78" s="113"/>
      <c r="J78" s="113"/>
    </row>
    <row r="79" spans="1:10" ht="63">
      <c r="A79" s="655">
        <v>13</v>
      </c>
      <c r="B79" s="647" t="s">
        <v>67</v>
      </c>
      <c r="C79" s="655"/>
      <c r="D79" s="282" t="s">
        <v>1138</v>
      </c>
      <c r="E79" s="648">
        <v>0.2</v>
      </c>
      <c r="F79" s="660"/>
      <c r="G79" s="653">
        <f t="shared" si="1"/>
        <v>0</v>
      </c>
    </row>
    <row r="80" spans="1:10" ht="31.5">
      <c r="A80" s="655"/>
      <c r="B80" s="647"/>
      <c r="C80" s="655"/>
      <c r="D80" s="282" t="s">
        <v>1139</v>
      </c>
      <c r="E80" s="648">
        <v>0.27</v>
      </c>
      <c r="F80" s="660"/>
      <c r="G80" s="653">
        <f t="shared" si="1"/>
        <v>0</v>
      </c>
    </row>
    <row r="81" spans="1:7" ht="94.5">
      <c r="A81" s="655"/>
      <c r="B81" s="647"/>
      <c r="C81" s="655"/>
      <c r="D81" s="282" t="s">
        <v>1140</v>
      </c>
      <c r="E81" s="648">
        <v>0.34</v>
      </c>
      <c r="F81" s="660"/>
      <c r="G81" s="653">
        <f t="shared" si="1"/>
        <v>0</v>
      </c>
    </row>
    <row r="82" spans="1:7" ht="63">
      <c r="A82" s="655"/>
      <c r="B82" s="647"/>
      <c r="C82" s="655"/>
      <c r="D82" s="282" t="s">
        <v>1141</v>
      </c>
      <c r="E82" s="648">
        <v>7.0000000000000007E-2</v>
      </c>
      <c r="F82" s="660"/>
      <c r="G82" s="653">
        <f t="shared" si="1"/>
        <v>0</v>
      </c>
    </row>
    <row r="83" spans="1:7" ht="47.25">
      <c r="A83" s="655"/>
      <c r="B83" s="647"/>
      <c r="C83" s="655"/>
      <c r="D83" s="282" t="s">
        <v>1142</v>
      </c>
      <c r="E83" s="648">
        <v>0.12</v>
      </c>
      <c r="F83" s="660"/>
      <c r="G83" s="653">
        <f t="shared" si="1"/>
        <v>0</v>
      </c>
    </row>
    <row r="84" spans="1:7">
      <c r="A84" s="27"/>
      <c r="B84" s="28" t="s">
        <v>848</v>
      </c>
      <c r="C84" s="27">
        <v>0.09</v>
      </c>
      <c r="D84" s="32"/>
      <c r="E84" s="29">
        <f>SUM(E79:E83)</f>
        <v>1</v>
      </c>
      <c r="F84" s="615" t="s">
        <v>58</v>
      </c>
      <c r="G84" s="29">
        <f>SUM(G79:G83)*C84</f>
        <v>0</v>
      </c>
    </row>
    <row r="85" spans="1:7" ht="110.25">
      <c r="A85" s="655">
        <v>14</v>
      </c>
      <c r="B85" s="647" t="s">
        <v>442</v>
      </c>
      <c r="C85" s="655"/>
      <c r="D85" s="282" t="s">
        <v>1143</v>
      </c>
      <c r="E85" s="648">
        <v>0.08</v>
      </c>
      <c r="F85" s="660"/>
      <c r="G85" s="653">
        <f t="shared" si="1"/>
        <v>0</v>
      </c>
    </row>
    <row r="86" spans="1:7" ht="47.25">
      <c r="A86" s="655"/>
      <c r="B86" s="647"/>
      <c r="C86" s="655"/>
      <c r="D86" s="282" t="s">
        <v>1144</v>
      </c>
      <c r="E86" s="648">
        <v>0.18</v>
      </c>
      <c r="F86" s="660"/>
      <c r="G86" s="653">
        <f t="shared" si="1"/>
        <v>0</v>
      </c>
    </row>
    <row r="87" spans="1:7" ht="31.5">
      <c r="A87" s="655"/>
      <c r="B87" s="647"/>
      <c r="C87" s="655"/>
      <c r="D87" s="283" t="s">
        <v>1145</v>
      </c>
      <c r="E87" s="648">
        <v>0.14000000000000001</v>
      </c>
      <c r="F87" s="660"/>
      <c r="G87" s="653">
        <f t="shared" si="1"/>
        <v>0</v>
      </c>
    </row>
    <row r="88" spans="1:7" ht="47.25">
      <c r="A88" s="655"/>
      <c r="B88" s="647"/>
      <c r="C88" s="655"/>
      <c r="D88" s="282" t="s">
        <v>1146</v>
      </c>
      <c r="E88" s="648">
        <v>0.1</v>
      </c>
      <c r="F88" s="660"/>
      <c r="G88" s="653">
        <f t="shared" si="1"/>
        <v>0</v>
      </c>
    </row>
    <row r="89" spans="1:7" ht="31.5">
      <c r="A89" s="655"/>
      <c r="B89" s="647"/>
      <c r="C89" s="655"/>
      <c r="D89" s="282" t="s">
        <v>1147</v>
      </c>
      <c r="E89" s="648">
        <v>0.16</v>
      </c>
      <c r="F89" s="660"/>
      <c r="G89" s="653">
        <f t="shared" si="1"/>
        <v>0</v>
      </c>
    </row>
    <row r="90" spans="1:7" ht="47.25">
      <c r="A90" s="655"/>
      <c r="B90" s="647"/>
      <c r="C90" s="655"/>
      <c r="D90" s="282" t="s">
        <v>882</v>
      </c>
      <c r="E90" s="648">
        <v>0.12</v>
      </c>
      <c r="F90" s="660"/>
      <c r="G90" s="653">
        <f t="shared" si="1"/>
        <v>0</v>
      </c>
    </row>
    <row r="91" spans="1:7" ht="47.25">
      <c r="A91" s="655"/>
      <c r="B91" s="647"/>
      <c r="C91" s="655"/>
      <c r="D91" s="282" t="s">
        <v>1148</v>
      </c>
      <c r="E91" s="648">
        <v>0.1</v>
      </c>
      <c r="F91" s="660"/>
      <c r="G91" s="653">
        <f t="shared" si="1"/>
        <v>0</v>
      </c>
    </row>
    <row r="92" spans="1:7">
      <c r="A92" s="655"/>
      <c r="B92" s="647"/>
      <c r="C92" s="655"/>
      <c r="D92" s="282" t="s">
        <v>1149</v>
      </c>
      <c r="E92" s="648">
        <v>0.08</v>
      </c>
      <c r="F92" s="660"/>
      <c r="G92" s="653">
        <f t="shared" si="1"/>
        <v>0</v>
      </c>
    </row>
    <row r="93" spans="1:7">
      <c r="A93" s="655"/>
      <c r="B93" s="647"/>
      <c r="C93" s="655"/>
      <c r="D93" s="282" t="s">
        <v>1117</v>
      </c>
      <c r="E93" s="648">
        <v>0.04</v>
      </c>
      <c r="F93" s="660"/>
      <c r="G93" s="653">
        <f t="shared" si="1"/>
        <v>0</v>
      </c>
    </row>
    <row r="94" spans="1:7">
      <c r="A94" s="27"/>
      <c r="B94" s="28" t="s">
        <v>848</v>
      </c>
      <c r="C94" s="27">
        <v>0.15</v>
      </c>
      <c r="D94" s="32"/>
      <c r="E94" s="29">
        <f>SUM(E85:E93)</f>
        <v>1</v>
      </c>
      <c r="F94" s="29" t="s">
        <v>59</v>
      </c>
      <c r="G94" s="29">
        <f>SUM(G85:G93)*C94</f>
        <v>0</v>
      </c>
    </row>
    <row r="95" spans="1:7">
      <c r="A95" s="246"/>
      <c r="B95" s="37" t="s">
        <v>848</v>
      </c>
      <c r="C95" s="671">
        <f>SUBTOTAL(9,C8,C11,C15,C18,C24,C29,C35,C46,C54,C65,C72,C78,C84,C94)</f>
        <v>1</v>
      </c>
      <c r="D95" s="38"/>
      <c r="E95" s="39">
        <v>15</v>
      </c>
      <c r="F95" s="38"/>
      <c r="G95" s="39">
        <f>SUBTOTAL(9,G8,G11,G15,G18,G24,G29,G35,G46,G54,G65,G72,G78,G84,G94)</f>
        <v>0</v>
      </c>
    </row>
    <row r="96" spans="1:7">
      <c r="A96" s="655"/>
      <c r="B96" s="647" t="s">
        <v>444</v>
      </c>
      <c r="C96" s="658"/>
      <c r="D96" s="659"/>
      <c r="E96" s="653"/>
      <c r="F96" s="665"/>
      <c r="G96" s="655" t="str">
        <f>IF(G95&lt;=0.5,"низький",IF(G95&lt;=0.75,"середній",(IF(G95&lt;=0.95,"достатній",(IF(G95&lt;=1,"високий"))))))</f>
        <v>низький</v>
      </c>
    </row>
    <row r="97" spans="1:7" s="302" customFormat="1">
      <c r="A97" s="288" t="s">
        <v>182</v>
      </c>
      <c r="B97" s="289"/>
      <c r="C97" s="342"/>
      <c r="E97" s="343"/>
      <c r="F97" s="344"/>
      <c r="G97" s="112"/>
    </row>
    <row r="98" spans="1:7" s="302" customFormat="1" ht="17.25">
      <c r="A98" s="345" t="s">
        <v>589</v>
      </c>
      <c r="B98" s="346"/>
      <c r="C98" s="347"/>
      <c r="D98" s="303"/>
      <c r="E98" s="348"/>
      <c r="F98" s="349"/>
      <c r="G98" s="112"/>
    </row>
    <row r="99" spans="1:7" s="302" customFormat="1" ht="17.25">
      <c r="A99" s="345" t="s">
        <v>590</v>
      </c>
      <c r="B99" s="346"/>
      <c r="C99" s="347"/>
      <c r="D99" s="303"/>
      <c r="E99" s="348"/>
      <c r="F99" s="349"/>
      <c r="G99" s="112"/>
    </row>
    <row r="100" spans="1:7" s="302" customFormat="1" ht="17.25">
      <c r="A100" s="345" t="s">
        <v>591</v>
      </c>
      <c r="B100" s="346"/>
      <c r="C100" s="347"/>
      <c r="D100" s="303"/>
      <c r="E100" s="348"/>
      <c r="F100" s="349"/>
      <c r="G100" s="112"/>
    </row>
    <row r="101" spans="1:7" s="302" customFormat="1" ht="17.25">
      <c r="A101" s="345" t="s">
        <v>592</v>
      </c>
      <c r="B101" s="346"/>
      <c r="C101" s="347"/>
      <c r="D101" s="303"/>
      <c r="E101" s="348"/>
      <c r="F101" s="349"/>
      <c r="G101" s="112"/>
    </row>
    <row r="102" spans="1:7" s="302" customFormat="1" ht="17.25">
      <c r="A102" s="345" t="s">
        <v>593</v>
      </c>
      <c r="B102" s="346"/>
      <c r="C102" s="347"/>
      <c r="D102" s="303"/>
      <c r="E102" s="348"/>
      <c r="F102" s="349"/>
      <c r="G102" s="112"/>
    </row>
    <row r="103" spans="1:7" s="302" customFormat="1" ht="17.25">
      <c r="A103" s="345" t="s">
        <v>594</v>
      </c>
      <c r="B103" s="346"/>
      <c r="C103" s="347"/>
      <c r="D103" s="303"/>
      <c r="E103" s="348"/>
      <c r="F103" s="349"/>
      <c r="G103" s="112"/>
    </row>
    <row r="104" spans="1:7" s="302" customFormat="1" ht="17.25">
      <c r="A104" s="345" t="s">
        <v>595</v>
      </c>
      <c r="B104" s="346"/>
      <c r="C104" s="347"/>
      <c r="D104" s="303"/>
      <c r="E104" s="348"/>
      <c r="F104" s="349"/>
      <c r="G104" s="112"/>
    </row>
    <row r="105" spans="1:7" s="302" customFormat="1">
      <c r="A105" s="350" t="s">
        <v>596</v>
      </c>
      <c r="B105" s="346"/>
      <c r="C105" s="347"/>
      <c r="D105" s="303"/>
      <c r="E105" s="348"/>
      <c r="F105" s="349"/>
      <c r="G105" s="112"/>
    </row>
    <row r="106" spans="1:7" s="302" customFormat="1">
      <c r="A106" s="345" t="s">
        <v>597</v>
      </c>
      <c r="B106" s="346"/>
      <c r="C106" s="347"/>
      <c r="D106" s="303"/>
      <c r="E106" s="348"/>
      <c r="F106" s="349"/>
      <c r="G106" s="112"/>
    </row>
    <row r="107" spans="1:7" s="302" customFormat="1">
      <c r="A107" s="288" t="s">
        <v>792</v>
      </c>
      <c r="B107" s="346"/>
      <c r="C107" s="347"/>
      <c r="D107" s="303"/>
      <c r="E107" s="348"/>
      <c r="F107" s="349"/>
      <c r="G107" s="112"/>
    </row>
    <row r="108" spans="1:7" s="302" customFormat="1">
      <c r="A108" s="288" t="s">
        <v>793</v>
      </c>
      <c r="B108" s="346"/>
      <c r="C108" s="347"/>
      <c r="D108" s="303"/>
      <c r="E108" s="348"/>
      <c r="F108" s="349"/>
      <c r="G108" s="112"/>
    </row>
    <row r="109" spans="1:7" s="302" customFormat="1">
      <c r="A109" s="288" t="s">
        <v>794</v>
      </c>
      <c r="B109" s="346"/>
      <c r="C109" s="347"/>
      <c r="D109" s="303"/>
      <c r="E109" s="348"/>
      <c r="F109" s="349"/>
      <c r="G109" s="112"/>
    </row>
    <row r="110" spans="1:7" s="302" customFormat="1">
      <c r="A110" s="342"/>
      <c r="B110" s="342" t="s">
        <v>20</v>
      </c>
      <c r="C110" s="342"/>
      <c r="D110" s="342"/>
      <c r="E110" s="342"/>
      <c r="F110" s="342"/>
      <c r="G110" s="342"/>
    </row>
    <row r="111" spans="1:7" s="302" customFormat="1">
      <c r="A111" s="351"/>
      <c r="B111" s="351"/>
      <c r="C111" s="351"/>
      <c r="D111" s="351"/>
      <c r="E111" s="351"/>
      <c r="F111" s="351"/>
      <c r="G111" s="351"/>
    </row>
    <row r="112" spans="1:7" s="302" customFormat="1">
      <c r="A112" s="351"/>
      <c r="B112" s="351"/>
      <c r="C112" s="351"/>
      <c r="D112" s="351"/>
      <c r="E112" s="351"/>
      <c r="F112" s="351"/>
      <c r="G112" s="351"/>
    </row>
    <row r="113" spans="1:7" s="302" customFormat="1">
      <c r="A113" s="351"/>
      <c r="B113" s="351"/>
      <c r="C113" s="351"/>
      <c r="D113" s="351"/>
      <c r="E113" s="351"/>
      <c r="F113" s="351"/>
      <c r="G113" s="351"/>
    </row>
    <row r="114" spans="1:7" s="302" customFormat="1">
      <c r="A114" s="351"/>
      <c r="B114" s="351"/>
      <c r="C114" s="351"/>
      <c r="D114" s="351"/>
      <c r="E114" s="351"/>
      <c r="F114" s="351"/>
      <c r="G114" s="351"/>
    </row>
    <row r="115" spans="1:7" s="302" customFormat="1">
      <c r="A115" s="351"/>
      <c r="B115" s="351"/>
      <c r="C115" s="351"/>
      <c r="D115" s="351"/>
      <c r="E115" s="351"/>
      <c r="F115" s="351"/>
      <c r="G115" s="351"/>
    </row>
    <row r="116" spans="1:7" s="302" customFormat="1">
      <c r="A116" s="351"/>
      <c r="B116" s="351"/>
      <c r="C116" s="351"/>
      <c r="D116" s="351"/>
      <c r="E116" s="351"/>
      <c r="F116" s="351"/>
      <c r="G116" s="351"/>
    </row>
    <row r="117" spans="1:7" s="302" customFormat="1">
      <c r="A117" s="351"/>
      <c r="B117" s="351"/>
      <c r="C117" s="351"/>
      <c r="D117" s="351"/>
      <c r="E117" s="351"/>
      <c r="F117" s="351"/>
      <c r="G117" s="351"/>
    </row>
    <row r="118" spans="1:7" s="302" customFormat="1">
      <c r="A118" s="351"/>
      <c r="B118" s="351"/>
      <c r="C118" s="351"/>
      <c r="D118" s="351"/>
      <c r="E118" s="351"/>
      <c r="F118" s="351"/>
      <c r="G118" s="351"/>
    </row>
    <row r="119" spans="1:7" s="302" customFormat="1">
      <c r="A119" s="351"/>
      <c r="B119" s="351"/>
      <c r="C119" s="351"/>
      <c r="D119" s="351"/>
      <c r="E119" s="351"/>
      <c r="F119" s="351"/>
      <c r="G119" s="351"/>
    </row>
    <row r="120" spans="1:7" s="302" customFormat="1">
      <c r="A120" s="351"/>
      <c r="B120" s="351"/>
      <c r="C120" s="351"/>
      <c r="D120" s="351"/>
      <c r="E120" s="351"/>
      <c r="F120" s="351"/>
      <c r="G120" s="351"/>
    </row>
    <row r="121" spans="1:7" s="302" customFormat="1">
      <c r="A121" s="351"/>
      <c r="B121" s="351"/>
      <c r="C121" s="351"/>
      <c r="D121" s="351"/>
      <c r="E121" s="351"/>
      <c r="F121" s="351"/>
      <c r="G121" s="351"/>
    </row>
    <row r="122" spans="1:7" s="302" customFormat="1">
      <c r="A122" s="351"/>
      <c r="B122" s="351"/>
      <c r="C122" s="351"/>
      <c r="D122" s="351"/>
      <c r="E122" s="351"/>
      <c r="F122" s="351"/>
      <c r="G122" s="351"/>
    </row>
    <row r="123" spans="1:7" s="302" customFormat="1">
      <c r="A123" s="351"/>
      <c r="B123" s="351"/>
      <c r="C123" s="351"/>
      <c r="D123" s="351"/>
      <c r="E123" s="351"/>
      <c r="F123" s="351"/>
      <c r="G123" s="351"/>
    </row>
    <row r="124" spans="1:7" s="302" customFormat="1">
      <c r="A124" s="351"/>
      <c r="B124" s="351"/>
      <c r="C124" s="351"/>
      <c r="D124" s="351"/>
      <c r="E124" s="351"/>
      <c r="F124" s="351"/>
      <c r="G124" s="351"/>
    </row>
    <row r="125" spans="1:7" s="302" customFormat="1">
      <c r="A125" s="342"/>
      <c r="B125" s="352" t="s">
        <v>2418</v>
      </c>
      <c r="C125" s="352"/>
      <c r="D125" s="352"/>
      <c r="E125" s="352"/>
      <c r="F125" s="352"/>
      <c r="G125" s="352"/>
    </row>
    <row r="126" spans="1:7" s="302" customFormat="1">
      <c r="A126" s="342"/>
      <c r="B126" s="353"/>
      <c r="C126" s="353"/>
      <c r="D126" s="353"/>
      <c r="E126" s="353"/>
      <c r="F126" s="353"/>
      <c r="G126" s="353"/>
    </row>
    <row r="127" spans="1:7" s="302" customFormat="1">
      <c r="A127" s="342"/>
      <c r="B127" s="352" t="s">
        <v>22</v>
      </c>
      <c r="C127" s="352"/>
      <c r="D127" s="352"/>
      <c r="E127" s="352"/>
      <c r="F127" s="352"/>
      <c r="G127" s="352"/>
    </row>
    <row r="128" spans="1:7" s="302" customFormat="1">
      <c r="A128" s="342"/>
      <c r="B128" s="353"/>
      <c r="C128" s="353"/>
      <c r="D128" s="353"/>
      <c r="E128" s="353"/>
      <c r="F128" s="353"/>
      <c r="G128" s="353"/>
    </row>
    <row r="129" spans="1:7" s="302" customFormat="1">
      <c r="A129" s="342"/>
      <c r="B129" s="352" t="s">
        <v>23</v>
      </c>
      <c r="C129" s="352"/>
      <c r="D129" s="352"/>
      <c r="E129" s="352"/>
      <c r="F129" s="352"/>
      <c r="G129" s="352"/>
    </row>
    <row r="130" spans="1:7" s="302" customFormat="1">
      <c r="A130" s="342"/>
      <c r="B130" s="352" t="s">
        <v>24</v>
      </c>
      <c r="C130" s="352"/>
      <c r="D130" s="352"/>
      <c r="E130" s="352"/>
      <c r="F130" s="352"/>
      <c r="G130" s="352"/>
    </row>
    <row r="131" spans="1:7" s="303" customFormat="1">
      <c r="A131" s="346"/>
      <c r="B131" s="346"/>
      <c r="E131" s="333"/>
    </row>
    <row r="132" spans="1:7">
      <c r="A132" s="290"/>
      <c r="B132" s="289"/>
      <c r="C132" s="63"/>
      <c r="D132" s="101"/>
    </row>
    <row r="133" spans="1:7">
      <c r="A133" s="290"/>
      <c r="B133" s="289"/>
      <c r="C133" s="63"/>
      <c r="D133" s="101"/>
    </row>
    <row r="134" spans="1:7">
      <c r="A134" s="290"/>
      <c r="B134" s="289"/>
      <c r="C134" s="63"/>
      <c r="D134" s="101"/>
    </row>
    <row r="135" spans="1:7">
      <c r="A135" s="54"/>
      <c r="B135" s="110"/>
      <c r="C135" s="385"/>
      <c r="D135" s="111"/>
      <c r="E135" s="111"/>
      <c r="F135" s="68"/>
      <c r="G135" s="112"/>
    </row>
    <row r="136" spans="1:7">
      <c r="A136" s="54"/>
      <c r="B136" s="110"/>
      <c r="C136" s="385"/>
      <c r="D136" s="111"/>
      <c r="E136" s="111"/>
      <c r="F136" s="68"/>
      <c r="G136" s="112"/>
    </row>
    <row r="137" spans="1:7">
      <c r="A137" s="54"/>
      <c r="B137" s="110"/>
      <c r="C137" s="385"/>
      <c r="D137" s="111"/>
      <c r="E137" s="111"/>
      <c r="F137" s="68"/>
      <c r="G137" s="112"/>
    </row>
    <row r="138" spans="1:7">
      <c r="A138" s="54"/>
      <c r="B138" s="110"/>
      <c r="C138" s="385"/>
      <c r="D138" s="111"/>
      <c r="E138" s="111"/>
      <c r="F138" s="68"/>
      <c r="G138" s="112"/>
    </row>
    <row r="139" spans="1:7">
      <c r="A139" s="54"/>
      <c r="B139" s="110"/>
      <c r="C139" s="385"/>
      <c r="D139" s="111"/>
      <c r="E139" s="111"/>
      <c r="F139" s="68"/>
      <c r="G139" s="112"/>
    </row>
  </sheetData>
  <autoFilter ref="A3:G110"/>
  <mergeCells count="2">
    <mergeCell ref="A1:G1"/>
    <mergeCell ref="A2:G2"/>
  </mergeCells>
  <phoneticPr fontId="4" type="noConversion"/>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dimension ref="A1:G84"/>
  <sheetViews>
    <sheetView workbookViewId="0">
      <selection activeCell="A47" sqref="A47:IV81"/>
    </sheetView>
  </sheetViews>
  <sheetFormatPr defaultRowHeight="15.75"/>
  <cols>
    <col min="1" max="1" width="7" style="81" bestFit="1" customWidth="1"/>
    <col min="2" max="2" width="20.85546875" style="181" customWidth="1"/>
    <col min="3" max="3" width="13.28515625" style="63" customWidth="1"/>
    <col min="4" max="4" width="48.28515625" style="25" customWidth="1"/>
    <col min="5" max="5" width="16.42578125" style="63" customWidth="1"/>
    <col min="6" max="6" width="17.7109375" style="101" customWidth="1"/>
    <col min="7" max="7" width="13.5703125" style="63" bestFit="1" customWidth="1"/>
    <col min="8" max="16384" width="9.140625" style="101"/>
  </cols>
  <sheetData>
    <row r="1" spans="1:7" ht="15.75" customHeight="1">
      <c r="A1" s="1132" t="s">
        <v>446</v>
      </c>
      <c r="B1" s="1132"/>
      <c r="C1" s="1132"/>
      <c r="D1" s="1132"/>
      <c r="E1" s="1132"/>
      <c r="F1" s="1132"/>
      <c r="G1" s="1132"/>
    </row>
    <row r="2" spans="1:7" ht="21" customHeight="1">
      <c r="A2" s="1131" t="s">
        <v>1969</v>
      </c>
      <c r="B2" s="1132"/>
      <c r="C2" s="1132"/>
      <c r="D2" s="1132"/>
      <c r="E2" s="1132"/>
      <c r="F2" s="1132"/>
      <c r="G2" s="1132"/>
    </row>
    <row r="4" spans="1:7" ht="63">
      <c r="A4" s="5" t="s">
        <v>434</v>
      </c>
      <c r="B4" s="5" t="s">
        <v>338</v>
      </c>
      <c r="C4" s="5" t="s">
        <v>771</v>
      </c>
      <c r="D4" s="5" t="s">
        <v>333</v>
      </c>
      <c r="E4" s="5" t="s">
        <v>337</v>
      </c>
      <c r="F4" s="5" t="s">
        <v>770</v>
      </c>
      <c r="G4" s="5" t="s">
        <v>82</v>
      </c>
    </row>
    <row r="5" spans="1:7" ht="63">
      <c r="A5" s="84">
        <v>1</v>
      </c>
      <c r="B5" s="168" t="s">
        <v>767</v>
      </c>
      <c r="C5" s="100"/>
      <c r="D5" s="617" t="s">
        <v>1401</v>
      </c>
      <c r="E5" s="100">
        <v>1</v>
      </c>
      <c r="F5" s="91"/>
      <c r="G5" s="100">
        <f>SUM(F5)*E5</f>
        <v>0</v>
      </c>
    </row>
    <row r="6" spans="1:7">
      <c r="A6" s="41"/>
      <c r="B6" s="31" t="s">
        <v>848</v>
      </c>
      <c r="C6" s="29">
        <v>0.05</v>
      </c>
      <c r="D6" s="32"/>
      <c r="E6" s="34">
        <f>E5</f>
        <v>1</v>
      </c>
      <c r="F6" s="29" t="s">
        <v>46</v>
      </c>
      <c r="G6" s="29">
        <f>G5*C6</f>
        <v>0</v>
      </c>
    </row>
    <row r="7" spans="1:7" ht="47.25">
      <c r="A7" s="84">
        <v>2</v>
      </c>
      <c r="B7" s="168" t="s">
        <v>1054</v>
      </c>
      <c r="C7" s="100"/>
      <c r="D7" s="617" t="s">
        <v>1402</v>
      </c>
      <c r="E7" s="100">
        <v>1</v>
      </c>
      <c r="F7" s="91"/>
      <c r="G7" s="100">
        <f t="shared" ref="G7:G43" si="0">SUM(F7)*E7</f>
        <v>0</v>
      </c>
    </row>
    <row r="8" spans="1:7">
      <c r="A8" s="41"/>
      <c r="B8" s="31" t="s">
        <v>848</v>
      </c>
      <c r="C8" s="29">
        <v>0.05</v>
      </c>
      <c r="D8" s="98"/>
      <c r="E8" s="176">
        <f>E7</f>
        <v>1</v>
      </c>
      <c r="F8" s="97" t="s">
        <v>47</v>
      </c>
      <c r="G8" s="29">
        <f>G7*C8</f>
        <v>0</v>
      </c>
    </row>
    <row r="9" spans="1:7" ht="63">
      <c r="A9" s="84">
        <v>3</v>
      </c>
      <c r="B9" s="618" t="s">
        <v>1403</v>
      </c>
      <c r="C9" s="100"/>
      <c r="D9" s="617" t="s">
        <v>1404</v>
      </c>
      <c r="E9" s="100">
        <v>0.25</v>
      </c>
      <c r="F9" s="91"/>
      <c r="G9" s="100">
        <f t="shared" si="0"/>
        <v>0</v>
      </c>
    </row>
    <row r="10" spans="1:7" ht="31.5">
      <c r="A10" s="84"/>
      <c r="B10" s="168"/>
      <c r="C10" s="100"/>
      <c r="D10" s="619" t="s">
        <v>1055</v>
      </c>
      <c r="E10" s="102">
        <v>0.25</v>
      </c>
      <c r="F10" s="91"/>
      <c r="G10" s="100">
        <f>SUM(F10)*E10</f>
        <v>0</v>
      </c>
    </row>
    <row r="11" spans="1:7" ht="31.5">
      <c r="A11" s="84"/>
      <c r="B11" s="168"/>
      <c r="C11" s="100"/>
      <c r="D11" s="619" t="s">
        <v>1056</v>
      </c>
      <c r="E11" s="102">
        <v>0.25</v>
      </c>
      <c r="F11" s="91"/>
      <c r="G11" s="100">
        <f t="shared" si="0"/>
        <v>0</v>
      </c>
    </row>
    <row r="12" spans="1:7" ht="31.5">
      <c r="A12" s="84"/>
      <c r="B12" s="168"/>
      <c r="C12" s="100"/>
      <c r="D12" s="619" t="s">
        <v>1057</v>
      </c>
      <c r="E12" s="102">
        <v>0.25</v>
      </c>
      <c r="F12" s="91"/>
      <c r="G12" s="100">
        <f t="shared" si="0"/>
        <v>0</v>
      </c>
    </row>
    <row r="13" spans="1:7">
      <c r="A13" s="41"/>
      <c r="B13" s="31" t="s">
        <v>848</v>
      </c>
      <c r="C13" s="29">
        <v>0.05</v>
      </c>
      <c r="D13" s="32"/>
      <c r="E13" s="34">
        <f>SUM(E9:E12)</f>
        <v>1</v>
      </c>
      <c r="F13" s="29" t="s">
        <v>48</v>
      </c>
      <c r="G13" s="29">
        <f>SUM(G9:G12)*C13</f>
        <v>0</v>
      </c>
    </row>
    <row r="14" spans="1:7" ht="47.25">
      <c r="A14" s="84">
        <v>4</v>
      </c>
      <c r="B14" s="168" t="s">
        <v>1058</v>
      </c>
      <c r="C14" s="100"/>
      <c r="D14" s="621" t="s">
        <v>1405</v>
      </c>
      <c r="E14" s="100">
        <v>0.15</v>
      </c>
      <c r="F14" s="91"/>
      <c r="G14" s="100">
        <f t="shared" si="0"/>
        <v>0</v>
      </c>
    </row>
    <row r="15" spans="1:7" ht="31.5">
      <c r="A15" s="84"/>
      <c r="B15" s="168"/>
      <c r="C15" s="174"/>
      <c r="D15" s="619" t="s">
        <v>1406</v>
      </c>
      <c r="E15" s="620">
        <v>0.15</v>
      </c>
      <c r="F15" s="91"/>
      <c r="G15" s="100">
        <f t="shared" si="0"/>
        <v>0</v>
      </c>
    </row>
    <row r="16" spans="1:7" ht="31.5">
      <c r="A16" s="84"/>
      <c r="B16" s="168"/>
      <c r="C16" s="174"/>
      <c r="D16" s="619" t="s">
        <v>1407</v>
      </c>
      <c r="E16" s="620">
        <v>0.15</v>
      </c>
      <c r="F16" s="91"/>
      <c r="G16" s="100">
        <f t="shared" si="0"/>
        <v>0</v>
      </c>
    </row>
    <row r="17" spans="1:7" ht="31.5">
      <c r="A17" s="84"/>
      <c r="B17" s="168"/>
      <c r="C17" s="174"/>
      <c r="D17" s="619" t="s">
        <v>1408</v>
      </c>
      <c r="E17" s="620">
        <v>0.15</v>
      </c>
      <c r="F17" s="91"/>
      <c r="G17" s="100">
        <f t="shared" si="0"/>
        <v>0</v>
      </c>
    </row>
    <row r="18" spans="1:7" ht="31.5">
      <c r="A18" s="84"/>
      <c r="B18" s="168"/>
      <c r="C18" s="174"/>
      <c r="D18" s="619" t="s">
        <v>1409</v>
      </c>
      <c r="E18" s="620">
        <v>0.15</v>
      </c>
      <c r="F18" s="175"/>
      <c r="G18" s="100">
        <f t="shared" si="0"/>
        <v>0</v>
      </c>
    </row>
    <row r="19" spans="1:7" ht="31.5">
      <c r="A19" s="84"/>
      <c r="B19" s="168"/>
      <c r="C19" s="174"/>
      <c r="D19" s="619" t="s">
        <v>1410</v>
      </c>
      <c r="E19" s="620">
        <v>0.15</v>
      </c>
      <c r="F19" s="175"/>
      <c r="G19" s="100">
        <f t="shared" si="0"/>
        <v>0</v>
      </c>
    </row>
    <row r="20" spans="1:7" ht="31.5">
      <c r="A20" s="84"/>
      <c r="B20" s="168"/>
      <c r="C20" s="174"/>
      <c r="D20" s="619" t="s">
        <v>1411</v>
      </c>
      <c r="E20" s="620">
        <v>0.1</v>
      </c>
      <c r="F20" s="175"/>
      <c r="G20" s="100">
        <f t="shared" si="0"/>
        <v>0</v>
      </c>
    </row>
    <row r="21" spans="1:7">
      <c r="A21" s="41"/>
      <c r="B21" s="31" t="s">
        <v>848</v>
      </c>
      <c r="C21" s="29">
        <v>0.1</v>
      </c>
      <c r="D21" s="622"/>
      <c r="E21" s="29">
        <f>SUM(E14:E20)</f>
        <v>1</v>
      </c>
      <c r="F21" s="177" t="s">
        <v>49</v>
      </c>
      <c r="G21" s="29">
        <f>SUM(G14:G20)*C21</f>
        <v>0</v>
      </c>
    </row>
    <row r="22" spans="1:7" ht="47.25">
      <c r="A22" s="84">
        <v>5</v>
      </c>
      <c r="B22" s="168" t="s">
        <v>1059</v>
      </c>
      <c r="C22" s="100"/>
      <c r="D22" s="621" t="s">
        <v>1412</v>
      </c>
      <c r="E22" s="100">
        <v>0.2</v>
      </c>
      <c r="F22" s="175"/>
      <c r="G22" s="100">
        <f t="shared" si="0"/>
        <v>0</v>
      </c>
    </row>
    <row r="23" spans="1:7" ht="47.25">
      <c r="A23" s="84"/>
      <c r="B23" s="168"/>
      <c r="C23" s="174"/>
      <c r="D23" s="619" t="s">
        <v>1413</v>
      </c>
      <c r="E23" s="620">
        <v>0.2</v>
      </c>
      <c r="F23" s="175"/>
      <c r="G23" s="100">
        <f t="shared" si="0"/>
        <v>0</v>
      </c>
    </row>
    <row r="24" spans="1:7" ht="31.5">
      <c r="A24" s="84"/>
      <c r="B24" s="168"/>
      <c r="C24" s="174"/>
      <c r="D24" s="619" t="s">
        <v>1414</v>
      </c>
      <c r="E24" s="620">
        <v>0.1</v>
      </c>
      <c r="F24" s="175"/>
      <c r="G24" s="100">
        <f t="shared" si="0"/>
        <v>0</v>
      </c>
    </row>
    <row r="25" spans="1:7" ht="31.5">
      <c r="A25" s="84"/>
      <c r="B25" s="168"/>
      <c r="C25" s="174"/>
      <c r="D25" s="619" t="s">
        <v>1415</v>
      </c>
      <c r="E25" s="620">
        <v>0.1</v>
      </c>
      <c r="F25" s="175"/>
      <c r="G25" s="100">
        <f t="shared" si="0"/>
        <v>0</v>
      </c>
    </row>
    <row r="26" spans="1:7" ht="31.5">
      <c r="A26" s="84"/>
      <c r="B26" s="168"/>
      <c r="C26" s="174"/>
      <c r="D26" s="619" t="s">
        <v>1416</v>
      </c>
      <c r="E26" s="620">
        <v>0.1</v>
      </c>
      <c r="F26" s="175"/>
      <c r="G26" s="100">
        <f t="shared" si="0"/>
        <v>0</v>
      </c>
    </row>
    <row r="27" spans="1:7" ht="31.5">
      <c r="A27" s="84"/>
      <c r="B27" s="168"/>
      <c r="C27" s="174"/>
      <c r="D27" s="619" t="s">
        <v>1417</v>
      </c>
      <c r="E27" s="620">
        <v>0.1</v>
      </c>
      <c r="F27" s="175"/>
      <c r="G27" s="100">
        <f t="shared" si="0"/>
        <v>0</v>
      </c>
    </row>
    <row r="28" spans="1:7">
      <c r="A28" s="84"/>
      <c r="B28" s="168"/>
      <c r="C28" s="174"/>
      <c r="D28" s="619" t="s">
        <v>1418</v>
      </c>
      <c r="E28" s="620">
        <v>0.1</v>
      </c>
      <c r="F28" s="91"/>
      <c r="G28" s="100">
        <f t="shared" si="0"/>
        <v>0</v>
      </c>
    </row>
    <row r="29" spans="1:7">
      <c r="A29" s="84"/>
      <c r="B29" s="168"/>
      <c r="C29" s="174"/>
      <c r="D29" s="619" t="s">
        <v>1419</v>
      </c>
      <c r="E29" s="620">
        <v>0.1</v>
      </c>
      <c r="F29" s="91"/>
      <c r="G29" s="100">
        <f t="shared" si="0"/>
        <v>0</v>
      </c>
    </row>
    <row r="30" spans="1:7">
      <c r="A30" s="41"/>
      <c r="B30" s="31" t="s">
        <v>848</v>
      </c>
      <c r="C30" s="29">
        <v>0.15</v>
      </c>
      <c r="D30" s="622"/>
      <c r="E30" s="29">
        <f>SUM(E22:E29)</f>
        <v>0.99999999999999989</v>
      </c>
      <c r="F30" s="29" t="s">
        <v>50</v>
      </c>
      <c r="G30" s="29">
        <f>SUM(G22:G29)*C30</f>
        <v>0</v>
      </c>
    </row>
    <row r="31" spans="1:7" ht="47.25">
      <c r="A31" s="84">
        <v>6</v>
      </c>
      <c r="B31" s="618" t="s">
        <v>1420</v>
      </c>
      <c r="C31" s="100"/>
      <c r="D31" s="617" t="s">
        <v>1421</v>
      </c>
      <c r="E31" s="100">
        <v>1</v>
      </c>
      <c r="F31" s="91"/>
      <c r="G31" s="100">
        <f t="shared" si="0"/>
        <v>0</v>
      </c>
    </row>
    <row r="32" spans="1:7">
      <c r="A32" s="41"/>
      <c r="B32" s="31" t="s">
        <v>848</v>
      </c>
      <c r="C32" s="29">
        <v>0.05</v>
      </c>
      <c r="D32" s="32"/>
      <c r="E32" s="29">
        <f>SUM(E31)</f>
        <v>1</v>
      </c>
      <c r="F32" s="29" t="s">
        <v>51</v>
      </c>
      <c r="G32" s="29">
        <f>SUM(G31)*C32</f>
        <v>0</v>
      </c>
    </row>
    <row r="33" spans="1:7" ht="63">
      <c r="A33" s="84">
        <v>7</v>
      </c>
      <c r="B33" s="618" t="s">
        <v>1422</v>
      </c>
      <c r="C33" s="100"/>
      <c r="D33" s="617" t="s">
        <v>1423</v>
      </c>
      <c r="E33" s="100">
        <v>1</v>
      </c>
      <c r="F33" s="91"/>
      <c r="G33" s="100">
        <f t="shared" si="0"/>
        <v>0</v>
      </c>
    </row>
    <row r="34" spans="1:7">
      <c r="A34" s="41"/>
      <c r="B34" s="31" t="s">
        <v>848</v>
      </c>
      <c r="C34" s="29">
        <v>0.05</v>
      </c>
      <c r="D34" s="32"/>
      <c r="E34" s="29">
        <f>SUM(E33)</f>
        <v>1</v>
      </c>
      <c r="F34" s="29" t="s">
        <v>52</v>
      </c>
      <c r="G34" s="29">
        <f>SUM(G33)*C34</f>
        <v>0</v>
      </c>
    </row>
    <row r="35" spans="1:7" ht="47.25">
      <c r="A35" s="84">
        <v>8</v>
      </c>
      <c r="B35" s="618" t="s">
        <v>1424</v>
      </c>
      <c r="C35" s="100"/>
      <c r="D35" s="617" t="s">
        <v>1060</v>
      </c>
      <c r="E35" s="100">
        <v>1</v>
      </c>
      <c r="F35" s="91"/>
      <c r="G35" s="100">
        <f t="shared" si="0"/>
        <v>0</v>
      </c>
    </row>
    <row r="36" spans="1:7">
      <c r="A36" s="41"/>
      <c r="B36" s="31" t="s">
        <v>848</v>
      </c>
      <c r="C36" s="29">
        <v>0.05</v>
      </c>
      <c r="D36" s="32"/>
      <c r="E36" s="29">
        <f>SUM(E35)</f>
        <v>1</v>
      </c>
      <c r="F36" s="29" t="s">
        <v>53</v>
      </c>
      <c r="G36" s="29">
        <f>SUM(G35)*C36</f>
        <v>0</v>
      </c>
    </row>
    <row r="37" spans="1:7" ht="94.5">
      <c r="A37" s="84">
        <v>9</v>
      </c>
      <c r="B37" s="618" t="s">
        <v>1425</v>
      </c>
      <c r="C37" s="100"/>
      <c r="D37" s="617" t="s">
        <v>1426</v>
      </c>
      <c r="E37" s="100">
        <v>1</v>
      </c>
      <c r="F37" s="91"/>
      <c r="G37" s="100">
        <f t="shared" si="0"/>
        <v>0</v>
      </c>
    </row>
    <row r="38" spans="1:7">
      <c r="A38" s="41"/>
      <c r="B38" s="31" t="s">
        <v>848</v>
      </c>
      <c r="C38" s="29">
        <v>0.15</v>
      </c>
      <c r="D38" s="32"/>
      <c r="E38" s="29">
        <f>SUM(E37)</f>
        <v>1</v>
      </c>
      <c r="F38" s="29" t="s">
        <v>54</v>
      </c>
      <c r="G38" s="29">
        <f>SUM(G37)*C38</f>
        <v>0</v>
      </c>
    </row>
    <row r="39" spans="1:7" ht="47.25">
      <c r="A39" s="84">
        <v>10</v>
      </c>
      <c r="B39" s="618" t="s">
        <v>1427</v>
      </c>
      <c r="C39" s="100"/>
      <c r="D39" s="617" t="s">
        <v>1428</v>
      </c>
      <c r="E39" s="100">
        <v>1</v>
      </c>
      <c r="F39" s="91"/>
      <c r="G39" s="100">
        <f t="shared" si="0"/>
        <v>0</v>
      </c>
    </row>
    <row r="40" spans="1:7">
      <c r="A40" s="178"/>
      <c r="B40" s="179" t="s">
        <v>848</v>
      </c>
      <c r="C40" s="97">
        <v>0.1</v>
      </c>
      <c r="D40" s="98"/>
      <c r="E40" s="97">
        <f>SUM(E39)</f>
        <v>1</v>
      </c>
      <c r="F40" s="97" t="s">
        <v>55</v>
      </c>
      <c r="G40" s="97">
        <f>SUM(G39)*C40</f>
        <v>0</v>
      </c>
    </row>
    <row r="41" spans="1:7" ht="47.25">
      <c r="A41" s="84">
        <v>11</v>
      </c>
      <c r="B41" s="618" t="s">
        <v>1429</v>
      </c>
      <c r="C41" s="100"/>
      <c r="D41" s="617" t="s">
        <v>1430</v>
      </c>
      <c r="E41" s="100">
        <v>1</v>
      </c>
      <c r="F41" s="91"/>
      <c r="G41" s="100">
        <f t="shared" si="0"/>
        <v>0</v>
      </c>
    </row>
    <row r="42" spans="1:7">
      <c r="A42" s="178"/>
      <c r="B42" s="179" t="s">
        <v>848</v>
      </c>
      <c r="C42" s="97">
        <v>0.1</v>
      </c>
      <c r="D42" s="98"/>
      <c r="E42" s="97">
        <f>SUM(E41)</f>
        <v>1</v>
      </c>
      <c r="F42" s="97" t="s">
        <v>56</v>
      </c>
      <c r="G42" s="97">
        <f>SUM(G41)*C42</f>
        <v>0</v>
      </c>
    </row>
    <row r="43" spans="1:7" ht="94.5">
      <c r="A43" s="84">
        <v>12</v>
      </c>
      <c r="B43" s="168" t="s">
        <v>1061</v>
      </c>
      <c r="C43" s="100"/>
      <c r="D43" s="617" t="s">
        <v>1431</v>
      </c>
      <c r="E43" s="100">
        <v>1</v>
      </c>
      <c r="F43" s="91"/>
      <c r="G43" s="100">
        <f t="shared" si="0"/>
        <v>0</v>
      </c>
    </row>
    <row r="44" spans="1:7">
      <c r="A44" s="178"/>
      <c r="B44" s="179" t="s">
        <v>848</v>
      </c>
      <c r="C44" s="97">
        <v>0.1</v>
      </c>
      <c r="D44" s="98"/>
      <c r="E44" s="97">
        <f>SUM(E43)</f>
        <v>1</v>
      </c>
      <c r="F44" s="97" t="s">
        <v>57</v>
      </c>
      <c r="G44" s="97">
        <f>SUM(G43)*C44</f>
        <v>0</v>
      </c>
    </row>
    <row r="45" spans="1:7">
      <c r="A45" s="40"/>
      <c r="B45" s="180" t="s">
        <v>443</v>
      </c>
      <c r="C45" s="39">
        <f>SUBTOTAL(9,C6,C8,C13,C21,C30,C32,C34,C36,C38,C40,C42,C44)</f>
        <v>1</v>
      </c>
      <c r="D45" s="38"/>
      <c r="E45" s="39">
        <v>13</v>
      </c>
      <c r="F45" s="38"/>
      <c r="G45" s="39">
        <f>SUBTOTAL(9,G6,G8,G13,G21,G30,G32,G34,G36,G38,G40,G42,G44)</f>
        <v>0</v>
      </c>
    </row>
    <row r="46" spans="1:7" ht="14.25" customHeight="1">
      <c r="A46" s="12"/>
      <c r="B46" s="22" t="s">
        <v>444</v>
      </c>
      <c r="C46" s="10"/>
      <c r="D46" s="10"/>
      <c r="E46" s="11"/>
      <c r="F46" s="3"/>
      <c r="G46" s="21" t="str">
        <f>IF(G45&lt;=0.5,"низький",IF(G45&lt;=0.75,"середній",(IF(G45&lt;=0.95,"достатній",(IF(G45&lt;=1,"високий"))))))</f>
        <v>низький</v>
      </c>
    </row>
    <row r="47" spans="1:7" s="302" customFormat="1">
      <c r="A47" s="288" t="s">
        <v>182</v>
      </c>
      <c r="B47" s="289"/>
      <c r="C47" s="342"/>
      <c r="E47" s="343"/>
      <c r="F47" s="344"/>
      <c r="G47" s="112"/>
    </row>
    <row r="48" spans="1:7" s="302" customFormat="1" ht="17.25">
      <c r="A48" s="345" t="s">
        <v>589</v>
      </c>
      <c r="B48" s="346"/>
      <c r="C48" s="347"/>
      <c r="D48" s="303"/>
      <c r="E48" s="348"/>
      <c r="F48" s="349"/>
      <c r="G48" s="112"/>
    </row>
    <row r="49" spans="1:7" s="302" customFormat="1" ht="17.25">
      <c r="A49" s="345" t="s">
        <v>590</v>
      </c>
      <c r="B49" s="346"/>
      <c r="C49" s="347"/>
      <c r="D49" s="303"/>
      <c r="E49" s="348"/>
      <c r="F49" s="349"/>
      <c r="G49" s="112"/>
    </row>
    <row r="50" spans="1:7" s="302" customFormat="1" ht="17.25">
      <c r="A50" s="345" t="s">
        <v>591</v>
      </c>
      <c r="B50" s="346"/>
      <c r="C50" s="347"/>
      <c r="D50" s="303"/>
      <c r="E50" s="348"/>
      <c r="F50" s="349"/>
      <c r="G50" s="112"/>
    </row>
    <row r="51" spans="1:7" s="302" customFormat="1" ht="17.25">
      <c r="A51" s="345" t="s">
        <v>592</v>
      </c>
      <c r="B51" s="346"/>
      <c r="C51" s="347"/>
      <c r="D51" s="303"/>
      <c r="E51" s="348"/>
      <c r="F51" s="349"/>
      <c r="G51" s="112"/>
    </row>
    <row r="52" spans="1:7" s="302" customFormat="1" ht="17.25">
      <c r="A52" s="345" t="s">
        <v>593</v>
      </c>
      <c r="B52" s="346"/>
      <c r="C52" s="347"/>
      <c r="D52" s="303"/>
      <c r="E52" s="348"/>
      <c r="F52" s="349"/>
      <c r="G52" s="112"/>
    </row>
    <row r="53" spans="1:7" s="302" customFormat="1" ht="17.25">
      <c r="A53" s="345" t="s">
        <v>594</v>
      </c>
      <c r="B53" s="346"/>
      <c r="C53" s="347"/>
      <c r="D53" s="303"/>
      <c r="E53" s="348"/>
      <c r="F53" s="349"/>
      <c r="G53" s="112"/>
    </row>
    <row r="54" spans="1:7" s="302" customFormat="1" ht="17.25">
      <c r="A54" s="345" t="s">
        <v>595</v>
      </c>
      <c r="B54" s="346"/>
      <c r="C54" s="347"/>
      <c r="D54" s="303"/>
      <c r="E54" s="348"/>
      <c r="F54" s="349"/>
      <c r="G54" s="112"/>
    </row>
    <row r="55" spans="1:7" s="302" customFormat="1">
      <c r="A55" s="350" t="s">
        <v>596</v>
      </c>
      <c r="B55" s="346"/>
      <c r="C55" s="347"/>
      <c r="D55" s="303"/>
      <c r="E55" s="348"/>
      <c r="F55" s="349"/>
      <c r="G55" s="112"/>
    </row>
    <row r="56" spans="1:7" s="302" customFormat="1">
      <c r="A56" s="345" t="s">
        <v>597</v>
      </c>
      <c r="B56" s="346"/>
      <c r="C56" s="347"/>
      <c r="D56" s="303"/>
      <c r="E56" s="348"/>
      <c r="F56" s="349"/>
      <c r="G56" s="112"/>
    </row>
    <row r="57" spans="1:7" s="302" customFormat="1">
      <c r="A57" s="288" t="s">
        <v>792</v>
      </c>
      <c r="B57" s="346"/>
      <c r="C57" s="347"/>
      <c r="D57" s="303"/>
      <c r="E57" s="348"/>
      <c r="F57" s="349"/>
      <c r="G57" s="112"/>
    </row>
    <row r="58" spans="1:7" s="302" customFormat="1">
      <c r="A58" s="288" t="s">
        <v>793</v>
      </c>
      <c r="B58" s="346"/>
      <c r="C58" s="347"/>
      <c r="D58" s="303"/>
      <c r="E58" s="348"/>
      <c r="F58" s="349"/>
      <c r="G58" s="112"/>
    </row>
    <row r="59" spans="1:7" s="302" customFormat="1">
      <c r="A59" s="288" t="s">
        <v>794</v>
      </c>
      <c r="B59" s="346"/>
      <c r="C59" s="347"/>
      <c r="D59" s="303"/>
      <c r="E59" s="348"/>
      <c r="F59" s="349"/>
      <c r="G59" s="112"/>
    </row>
    <row r="60" spans="1:7" s="302" customFormat="1">
      <c r="A60" s="342"/>
      <c r="B60" s="342" t="s">
        <v>20</v>
      </c>
      <c r="C60" s="342"/>
      <c r="D60" s="342"/>
      <c r="E60" s="342"/>
      <c r="F60" s="342"/>
      <c r="G60" s="342"/>
    </row>
    <row r="61" spans="1:7" s="302" customFormat="1">
      <c r="A61" s="351"/>
      <c r="B61" s="351"/>
      <c r="C61" s="351"/>
      <c r="D61" s="351"/>
      <c r="E61" s="351"/>
      <c r="F61" s="351"/>
      <c r="G61" s="351"/>
    </row>
    <row r="62" spans="1:7" s="302" customFormat="1">
      <c r="A62" s="351"/>
      <c r="B62" s="351"/>
      <c r="C62" s="351"/>
      <c r="D62" s="351"/>
      <c r="E62" s="351"/>
      <c r="F62" s="351"/>
      <c r="G62" s="351"/>
    </row>
    <row r="63" spans="1:7" s="302" customFormat="1">
      <c r="A63" s="351"/>
      <c r="B63" s="351"/>
      <c r="C63" s="351"/>
      <c r="D63" s="351"/>
      <c r="E63" s="351"/>
      <c r="F63" s="351"/>
      <c r="G63" s="351"/>
    </row>
    <row r="64" spans="1:7" s="302" customFormat="1">
      <c r="A64" s="351"/>
      <c r="B64" s="351"/>
      <c r="C64" s="351"/>
      <c r="D64" s="351"/>
      <c r="E64" s="351"/>
      <c r="F64" s="351"/>
      <c r="G64" s="351"/>
    </row>
    <row r="65" spans="1:7" s="302" customFormat="1">
      <c r="A65" s="351"/>
      <c r="B65" s="351"/>
      <c r="C65" s="351"/>
      <c r="D65" s="351"/>
      <c r="E65" s="351"/>
      <c r="F65" s="351"/>
      <c r="G65" s="351"/>
    </row>
    <row r="66" spans="1:7" s="302" customFormat="1">
      <c r="A66" s="351"/>
      <c r="B66" s="351"/>
      <c r="C66" s="351"/>
      <c r="D66" s="351"/>
      <c r="E66" s="351"/>
      <c r="F66" s="351"/>
      <c r="G66" s="351"/>
    </row>
    <row r="67" spans="1:7" s="302" customFormat="1">
      <c r="A67" s="351"/>
      <c r="B67" s="351"/>
      <c r="C67" s="351"/>
      <c r="D67" s="351"/>
      <c r="E67" s="351"/>
      <c r="F67" s="351"/>
      <c r="G67" s="351"/>
    </row>
    <row r="68" spans="1:7" s="302" customFormat="1">
      <c r="A68" s="351"/>
      <c r="B68" s="351"/>
      <c r="C68" s="351"/>
      <c r="D68" s="351"/>
      <c r="E68" s="351"/>
      <c r="F68" s="351"/>
      <c r="G68" s="351"/>
    </row>
    <row r="69" spans="1:7" s="302" customFormat="1">
      <c r="A69" s="351"/>
      <c r="B69" s="351"/>
      <c r="C69" s="351"/>
      <c r="D69" s="351"/>
      <c r="E69" s="351"/>
      <c r="F69" s="351"/>
      <c r="G69" s="351"/>
    </row>
    <row r="70" spans="1:7" s="302" customFormat="1">
      <c r="A70" s="351"/>
      <c r="B70" s="351"/>
      <c r="C70" s="351"/>
      <c r="D70" s="351"/>
      <c r="E70" s="351"/>
      <c r="F70" s="351"/>
      <c r="G70" s="351"/>
    </row>
    <row r="71" spans="1:7" s="302" customFormat="1">
      <c r="A71" s="351"/>
      <c r="B71" s="351"/>
      <c r="C71" s="351"/>
      <c r="D71" s="351"/>
      <c r="E71" s="351"/>
      <c r="F71" s="351"/>
      <c r="G71" s="351"/>
    </row>
    <row r="72" spans="1:7" s="302" customFormat="1">
      <c r="A72" s="351"/>
      <c r="B72" s="351"/>
      <c r="C72" s="351"/>
      <c r="D72" s="351"/>
      <c r="E72" s="351"/>
      <c r="F72" s="351"/>
      <c r="G72" s="351"/>
    </row>
    <row r="73" spans="1:7" s="302" customFormat="1">
      <c r="A73" s="351"/>
      <c r="B73" s="351"/>
      <c r="C73" s="351"/>
      <c r="D73" s="351"/>
      <c r="E73" s="351"/>
      <c r="F73" s="351"/>
      <c r="G73" s="351"/>
    </row>
    <row r="74" spans="1:7" s="302" customFormat="1">
      <c r="A74" s="351"/>
      <c r="B74" s="351"/>
      <c r="C74" s="351"/>
      <c r="D74" s="351"/>
      <c r="E74" s="351"/>
      <c r="F74" s="351"/>
      <c r="G74" s="351"/>
    </row>
    <row r="75" spans="1:7" s="302" customFormat="1">
      <c r="A75" s="342"/>
      <c r="B75" s="352" t="s">
        <v>2418</v>
      </c>
      <c r="C75" s="352"/>
      <c r="D75" s="352"/>
      <c r="E75" s="352"/>
      <c r="F75" s="352"/>
      <c r="G75" s="352"/>
    </row>
    <row r="76" spans="1:7" s="302" customFormat="1">
      <c r="A76" s="342"/>
      <c r="B76" s="353"/>
      <c r="C76" s="353"/>
      <c r="D76" s="353"/>
      <c r="E76" s="353"/>
      <c r="F76" s="353"/>
      <c r="G76" s="353"/>
    </row>
    <row r="77" spans="1:7" s="302" customFormat="1">
      <c r="A77" s="342"/>
      <c r="B77" s="352" t="s">
        <v>22</v>
      </c>
      <c r="C77" s="352"/>
      <c r="D77" s="352"/>
      <c r="E77" s="352"/>
      <c r="F77" s="352"/>
      <c r="G77" s="352"/>
    </row>
    <row r="78" spans="1:7" s="302" customFormat="1">
      <c r="A78" s="342"/>
      <c r="B78" s="353"/>
      <c r="C78" s="353"/>
      <c r="D78" s="353"/>
      <c r="E78" s="353"/>
      <c r="F78" s="353"/>
      <c r="G78" s="353"/>
    </row>
    <row r="79" spans="1:7" s="302" customFormat="1">
      <c r="A79" s="342"/>
      <c r="B79" s="352" t="s">
        <v>23</v>
      </c>
      <c r="C79" s="352"/>
      <c r="D79" s="352"/>
      <c r="E79" s="352"/>
      <c r="F79" s="352"/>
      <c r="G79" s="352"/>
    </row>
    <row r="80" spans="1:7" s="302" customFormat="1">
      <c r="A80" s="342"/>
      <c r="B80" s="352" t="s">
        <v>24</v>
      </c>
      <c r="C80" s="352"/>
      <c r="D80" s="352"/>
      <c r="E80" s="352"/>
      <c r="F80" s="352"/>
      <c r="G80" s="352"/>
    </row>
    <row r="81" spans="1:7" s="303" customFormat="1">
      <c r="A81" s="346"/>
      <c r="B81" s="346"/>
      <c r="E81" s="333"/>
    </row>
    <row r="82" spans="1:7">
      <c r="A82" s="290"/>
      <c r="B82" s="289"/>
      <c r="D82" s="101"/>
      <c r="G82" s="101"/>
    </row>
    <row r="83" spans="1:7">
      <c r="A83" s="290"/>
      <c r="B83" s="289"/>
      <c r="D83" s="101"/>
      <c r="G83" s="101"/>
    </row>
    <row r="84" spans="1:7">
      <c r="A84" s="290"/>
      <c r="B84" s="289"/>
      <c r="D84" s="101"/>
      <c r="G84" s="101"/>
    </row>
  </sheetData>
  <mergeCells count="2">
    <mergeCell ref="A1:G1"/>
    <mergeCell ref="A2:G2"/>
  </mergeCells>
  <phoneticPr fontId="4" type="noConversion"/>
  <pageMargins left="0.7" right="0.7" top="0.75" bottom="0.75" header="0.3" footer="0.3"/>
  <pageSetup paperSize="9" scale="60" orientation="portrait" r:id="rId1"/>
</worksheet>
</file>

<file path=xl/worksheets/sheet51.xml><?xml version="1.0" encoding="utf-8"?>
<worksheet xmlns="http://schemas.openxmlformats.org/spreadsheetml/2006/main" xmlns:r="http://schemas.openxmlformats.org/officeDocument/2006/relationships">
  <dimension ref="A1:G84"/>
  <sheetViews>
    <sheetView workbookViewId="0">
      <selection activeCell="A2" sqref="A2:G2"/>
    </sheetView>
  </sheetViews>
  <sheetFormatPr defaultRowHeight="15.75"/>
  <cols>
    <col min="1" max="1" width="7" style="81" bestFit="1" customWidth="1"/>
    <col min="2" max="2" width="20.85546875" style="181" customWidth="1"/>
    <col min="3" max="3" width="13.28515625" style="63" customWidth="1"/>
    <col min="4" max="4" width="48.28515625" style="25" customWidth="1"/>
    <col min="5" max="5" width="16.42578125" style="63" customWidth="1"/>
    <col min="6" max="6" width="17.7109375" style="101" customWidth="1"/>
    <col min="7" max="7" width="13.5703125" style="63" bestFit="1" customWidth="1"/>
    <col min="8" max="16384" width="9.140625" style="101"/>
  </cols>
  <sheetData>
    <row r="1" spans="1:7" ht="15.75" customHeight="1">
      <c r="A1" s="1132" t="s">
        <v>446</v>
      </c>
      <c r="B1" s="1132"/>
      <c r="C1" s="1132"/>
      <c r="D1" s="1132"/>
      <c r="E1" s="1132"/>
      <c r="F1" s="1132"/>
      <c r="G1" s="1132"/>
    </row>
    <row r="2" spans="1:7" ht="21" customHeight="1">
      <c r="A2" s="1131" t="s">
        <v>1607</v>
      </c>
      <c r="B2" s="1132"/>
      <c r="C2" s="1132"/>
      <c r="D2" s="1132"/>
      <c r="E2" s="1132"/>
      <c r="F2" s="1132"/>
      <c r="G2" s="1132"/>
    </row>
    <row r="4" spans="1:7" ht="63">
      <c r="A4" s="5" t="s">
        <v>434</v>
      </c>
      <c r="B4" s="5" t="s">
        <v>338</v>
      </c>
      <c r="C4" s="5" t="s">
        <v>771</v>
      </c>
      <c r="D4" s="5" t="s">
        <v>333</v>
      </c>
      <c r="E4" s="5" t="s">
        <v>337</v>
      </c>
      <c r="F4" s="5" t="s">
        <v>770</v>
      </c>
      <c r="G4" s="5" t="s">
        <v>82</v>
      </c>
    </row>
    <row r="5" spans="1:7" ht="63">
      <c r="A5" s="84">
        <v>1</v>
      </c>
      <c r="B5" s="168" t="s">
        <v>767</v>
      </c>
      <c r="C5" s="100"/>
      <c r="D5" s="617" t="s">
        <v>1401</v>
      </c>
      <c r="E5" s="100">
        <v>1</v>
      </c>
      <c r="F5" s="91"/>
      <c r="G5" s="100">
        <f>SUM(F5)*E5</f>
        <v>0</v>
      </c>
    </row>
    <row r="6" spans="1:7">
      <c r="A6" s="41"/>
      <c r="B6" s="31" t="s">
        <v>848</v>
      </c>
      <c r="C6" s="29">
        <v>0.05</v>
      </c>
      <c r="D6" s="32"/>
      <c r="E6" s="34">
        <f>E5</f>
        <v>1</v>
      </c>
      <c r="F6" s="29" t="s">
        <v>46</v>
      </c>
      <c r="G6" s="29">
        <f>G5*C6</f>
        <v>0</v>
      </c>
    </row>
    <row r="7" spans="1:7" ht="47.25">
      <c r="A7" s="84">
        <v>2</v>
      </c>
      <c r="B7" s="168" t="s">
        <v>1054</v>
      </c>
      <c r="C7" s="100"/>
      <c r="D7" s="617" t="s">
        <v>1402</v>
      </c>
      <c r="E7" s="100">
        <v>1</v>
      </c>
      <c r="F7" s="91"/>
      <c r="G7" s="100">
        <f t="shared" ref="G7:G43" si="0">SUM(F7)*E7</f>
        <v>0</v>
      </c>
    </row>
    <row r="8" spans="1:7">
      <c r="A8" s="41"/>
      <c r="B8" s="31" t="s">
        <v>848</v>
      </c>
      <c r="C8" s="29">
        <v>0.05</v>
      </c>
      <c r="D8" s="98"/>
      <c r="E8" s="176">
        <f>E7</f>
        <v>1</v>
      </c>
      <c r="F8" s="97" t="s">
        <v>47</v>
      </c>
      <c r="G8" s="29">
        <f>G7*C8</f>
        <v>0</v>
      </c>
    </row>
    <row r="9" spans="1:7" ht="63">
      <c r="A9" s="84">
        <v>3</v>
      </c>
      <c r="B9" s="618" t="s">
        <v>1403</v>
      </c>
      <c r="C9" s="100"/>
      <c r="D9" s="617" t="s">
        <v>1404</v>
      </c>
      <c r="E9" s="100">
        <v>0.25</v>
      </c>
      <c r="F9" s="91"/>
      <c r="G9" s="100">
        <f t="shared" si="0"/>
        <v>0</v>
      </c>
    </row>
    <row r="10" spans="1:7" ht="31.5">
      <c r="A10" s="84"/>
      <c r="B10" s="168"/>
      <c r="C10" s="100"/>
      <c r="D10" s="619" t="s">
        <v>1055</v>
      </c>
      <c r="E10" s="102">
        <v>0.25</v>
      </c>
      <c r="F10" s="91"/>
      <c r="G10" s="100">
        <f>SUM(F10)*E10</f>
        <v>0</v>
      </c>
    </row>
    <row r="11" spans="1:7" ht="31.5">
      <c r="A11" s="84"/>
      <c r="B11" s="168"/>
      <c r="C11" s="100"/>
      <c r="D11" s="619" t="s">
        <v>1056</v>
      </c>
      <c r="E11" s="102">
        <v>0.25</v>
      </c>
      <c r="F11" s="91"/>
      <c r="G11" s="100">
        <f t="shared" si="0"/>
        <v>0</v>
      </c>
    </row>
    <row r="12" spans="1:7" ht="31.5">
      <c r="A12" s="84"/>
      <c r="B12" s="168"/>
      <c r="C12" s="100"/>
      <c r="D12" s="619" t="s">
        <v>1057</v>
      </c>
      <c r="E12" s="102">
        <v>0.25</v>
      </c>
      <c r="F12" s="91"/>
      <c r="G12" s="100">
        <f t="shared" si="0"/>
        <v>0</v>
      </c>
    </row>
    <row r="13" spans="1:7">
      <c r="A13" s="41"/>
      <c r="B13" s="31" t="s">
        <v>848</v>
      </c>
      <c r="C13" s="29">
        <v>0.05</v>
      </c>
      <c r="D13" s="32"/>
      <c r="E13" s="34">
        <f>SUM(E9:E12)</f>
        <v>1</v>
      </c>
      <c r="F13" s="29" t="s">
        <v>48</v>
      </c>
      <c r="G13" s="29">
        <f>SUM(G9:G12)*C13</f>
        <v>0</v>
      </c>
    </row>
    <row r="14" spans="1:7" ht="47.25">
      <c r="A14" s="84">
        <v>4</v>
      </c>
      <c r="B14" s="168" t="s">
        <v>1058</v>
      </c>
      <c r="C14" s="100"/>
      <c r="D14" s="621" t="s">
        <v>1405</v>
      </c>
      <c r="E14" s="100">
        <v>0.15</v>
      </c>
      <c r="F14" s="91"/>
      <c r="G14" s="100">
        <f t="shared" si="0"/>
        <v>0</v>
      </c>
    </row>
    <row r="15" spans="1:7" ht="31.5">
      <c r="A15" s="84"/>
      <c r="B15" s="168"/>
      <c r="C15" s="174"/>
      <c r="D15" s="619" t="s">
        <v>1406</v>
      </c>
      <c r="E15" s="620">
        <v>0.15</v>
      </c>
      <c r="F15" s="91"/>
      <c r="G15" s="100">
        <f t="shared" si="0"/>
        <v>0</v>
      </c>
    </row>
    <row r="16" spans="1:7" ht="31.5">
      <c r="A16" s="84"/>
      <c r="B16" s="168"/>
      <c r="C16" s="174"/>
      <c r="D16" s="619" t="s">
        <v>1407</v>
      </c>
      <c r="E16" s="620">
        <v>0.15</v>
      </c>
      <c r="F16" s="91"/>
      <c r="G16" s="100">
        <f t="shared" si="0"/>
        <v>0</v>
      </c>
    </row>
    <row r="17" spans="1:7" ht="31.5">
      <c r="A17" s="84"/>
      <c r="B17" s="168"/>
      <c r="C17" s="174"/>
      <c r="D17" s="619" t="s">
        <v>1408</v>
      </c>
      <c r="E17" s="620">
        <v>0.15</v>
      </c>
      <c r="F17" s="91"/>
      <c r="G17" s="100">
        <f t="shared" si="0"/>
        <v>0</v>
      </c>
    </row>
    <row r="18" spans="1:7" ht="31.5">
      <c r="A18" s="84"/>
      <c r="B18" s="168"/>
      <c r="C18" s="174"/>
      <c r="D18" s="619" t="s">
        <v>1409</v>
      </c>
      <c r="E18" s="620">
        <v>0.15</v>
      </c>
      <c r="F18" s="175"/>
      <c r="G18" s="100">
        <f t="shared" si="0"/>
        <v>0</v>
      </c>
    </row>
    <row r="19" spans="1:7" ht="31.5">
      <c r="A19" s="84"/>
      <c r="B19" s="168"/>
      <c r="C19" s="174"/>
      <c r="D19" s="619" t="s">
        <v>1410</v>
      </c>
      <c r="E19" s="620">
        <v>0.15</v>
      </c>
      <c r="F19" s="175"/>
      <c r="G19" s="100">
        <f t="shared" si="0"/>
        <v>0</v>
      </c>
    </row>
    <row r="20" spans="1:7" ht="31.5">
      <c r="A20" s="84"/>
      <c r="B20" s="168"/>
      <c r="C20" s="174"/>
      <c r="D20" s="619" t="s">
        <v>1411</v>
      </c>
      <c r="E20" s="620">
        <v>0.1</v>
      </c>
      <c r="F20" s="175"/>
      <c r="G20" s="100">
        <f t="shared" si="0"/>
        <v>0</v>
      </c>
    </row>
    <row r="21" spans="1:7">
      <c r="A21" s="41"/>
      <c r="B21" s="31" t="s">
        <v>848</v>
      </c>
      <c r="C21" s="29">
        <v>0.1</v>
      </c>
      <c r="D21" s="622"/>
      <c r="E21" s="29">
        <f>SUM(E14:E20)</f>
        <v>1</v>
      </c>
      <c r="F21" s="177" t="s">
        <v>49</v>
      </c>
      <c r="G21" s="29">
        <f>SUM(G14:G20)*C21</f>
        <v>0</v>
      </c>
    </row>
    <row r="22" spans="1:7" ht="47.25">
      <c r="A22" s="84">
        <v>5</v>
      </c>
      <c r="B22" s="168" t="s">
        <v>1059</v>
      </c>
      <c r="C22" s="100"/>
      <c r="D22" s="621" t="s">
        <v>1412</v>
      </c>
      <c r="E22" s="100">
        <v>0.2</v>
      </c>
      <c r="F22" s="175"/>
      <c r="G22" s="100">
        <f t="shared" si="0"/>
        <v>0</v>
      </c>
    </row>
    <row r="23" spans="1:7" ht="47.25">
      <c r="A23" s="84"/>
      <c r="B23" s="168"/>
      <c r="C23" s="174"/>
      <c r="D23" s="619" t="s">
        <v>1413</v>
      </c>
      <c r="E23" s="620">
        <v>0.2</v>
      </c>
      <c r="F23" s="175"/>
      <c r="G23" s="100">
        <f t="shared" si="0"/>
        <v>0</v>
      </c>
    </row>
    <row r="24" spans="1:7" ht="31.5">
      <c r="A24" s="84"/>
      <c r="B24" s="168"/>
      <c r="C24" s="174"/>
      <c r="D24" s="619" t="s">
        <v>1414</v>
      </c>
      <c r="E24" s="620">
        <v>0.1</v>
      </c>
      <c r="F24" s="175"/>
      <c r="G24" s="100">
        <f t="shared" si="0"/>
        <v>0</v>
      </c>
    </row>
    <row r="25" spans="1:7" ht="31.5">
      <c r="A25" s="84"/>
      <c r="B25" s="168"/>
      <c r="C25" s="174"/>
      <c r="D25" s="619" t="s">
        <v>1415</v>
      </c>
      <c r="E25" s="620">
        <v>0.1</v>
      </c>
      <c r="F25" s="175"/>
      <c r="G25" s="100">
        <f t="shared" si="0"/>
        <v>0</v>
      </c>
    </row>
    <row r="26" spans="1:7" ht="31.5">
      <c r="A26" s="84"/>
      <c r="B26" s="168"/>
      <c r="C26" s="174"/>
      <c r="D26" s="619" t="s">
        <v>1416</v>
      </c>
      <c r="E26" s="620">
        <v>0.1</v>
      </c>
      <c r="F26" s="175"/>
      <c r="G26" s="100">
        <f t="shared" si="0"/>
        <v>0</v>
      </c>
    </row>
    <row r="27" spans="1:7" ht="31.5">
      <c r="A27" s="84"/>
      <c r="B27" s="168"/>
      <c r="C27" s="174"/>
      <c r="D27" s="619" t="s">
        <v>1417</v>
      </c>
      <c r="E27" s="620">
        <v>0.1</v>
      </c>
      <c r="F27" s="175"/>
      <c r="G27" s="100">
        <f t="shared" si="0"/>
        <v>0</v>
      </c>
    </row>
    <row r="28" spans="1:7">
      <c r="A28" s="84"/>
      <c r="B28" s="168"/>
      <c r="C28" s="174"/>
      <c r="D28" s="619" t="s">
        <v>1418</v>
      </c>
      <c r="E28" s="620">
        <v>0.1</v>
      </c>
      <c r="F28" s="91"/>
      <c r="G28" s="100">
        <f t="shared" si="0"/>
        <v>0</v>
      </c>
    </row>
    <row r="29" spans="1:7">
      <c r="A29" s="84"/>
      <c r="B29" s="168"/>
      <c r="C29" s="174"/>
      <c r="D29" s="619" t="s">
        <v>1419</v>
      </c>
      <c r="E29" s="620">
        <v>0.1</v>
      </c>
      <c r="F29" s="91"/>
      <c r="G29" s="100">
        <f t="shared" si="0"/>
        <v>0</v>
      </c>
    </row>
    <row r="30" spans="1:7">
      <c r="A30" s="41"/>
      <c r="B30" s="31" t="s">
        <v>848</v>
      </c>
      <c r="C30" s="29">
        <v>0.15</v>
      </c>
      <c r="D30" s="622"/>
      <c r="E30" s="29">
        <f>SUM(E22:E29)</f>
        <v>0.99999999999999989</v>
      </c>
      <c r="F30" s="29" t="s">
        <v>50</v>
      </c>
      <c r="G30" s="29">
        <f>SUM(G22:G29)*C30</f>
        <v>0</v>
      </c>
    </row>
    <row r="31" spans="1:7" ht="47.25">
      <c r="A31" s="84">
        <v>6</v>
      </c>
      <c r="B31" s="618" t="s">
        <v>1420</v>
      </c>
      <c r="C31" s="100"/>
      <c r="D31" s="617" t="s">
        <v>1421</v>
      </c>
      <c r="E31" s="100">
        <v>1</v>
      </c>
      <c r="F31" s="91"/>
      <c r="G31" s="100">
        <f t="shared" si="0"/>
        <v>0</v>
      </c>
    </row>
    <row r="32" spans="1:7">
      <c r="A32" s="41"/>
      <c r="B32" s="31" t="s">
        <v>848</v>
      </c>
      <c r="C32" s="29">
        <v>0.05</v>
      </c>
      <c r="D32" s="32"/>
      <c r="E32" s="29">
        <f>SUM(E31)</f>
        <v>1</v>
      </c>
      <c r="F32" s="29" t="s">
        <v>51</v>
      </c>
      <c r="G32" s="29">
        <f>SUM(G31)*C32</f>
        <v>0</v>
      </c>
    </row>
    <row r="33" spans="1:7" ht="63">
      <c r="A33" s="84">
        <v>7</v>
      </c>
      <c r="B33" s="618" t="s">
        <v>1422</v>
      </c>
      <c r="C33" s="100"/>
      <c r="D33" s="617" t="s">
        <v>1423</v>
      </c>
      <c r="E33" s="100">
        <v>1</v>
      </c>
      <c r="F33" s="91"/>
      <c r="G33" s="100">
        <f t="shared" si="0"/>
        <v>0</v>
      </c>
    </row>
    <row r="34" spans="1:7">
      <c r="A34" s="41"/>
      <c r="B34" s="31" t="s">
        <v>848</v>
      </c>
      <c r="C34" s="29">
        <v>0.05</v>
      </c>
      <c r="D34" s="32"/>
      <c r="E34" s="29">
        <f>SUM(E33)</f>
        <v>1</v>
      </c>
      <c r="F34" s="29" t="s">
        <v>52</v>
      </c>
      <c r="G34" s="29">
        <f>SUM(G33)*C34</f>
        <v>0</v>
      </c>
    </row>
    <row r="35" spans="1:7" ht="47.25">
      <c r="A35" s="84">
        <v>8</v>
      </c>
      <c r="B35" s="618" t="s">
        <v>1424</v>
      </c>
      <c r="C35" s="100"/>
      <c r="D35" s="617" t="s">
        <v>1060</v>
      </c>
      <c r="E35" s="100">
        <v>1</v>
      </c>
      <c r="F35" s="91"/>
      <c r="G35" s="100">
        <f t="shared" si="0"/>
        <v>0</v>
      </c>
    </row>
    <row r="36" spans="1:7">
      <c r="A36" s="41"/>
      <c r="B36" s="31" t="s">
        <v>848</v>
      </c>
      <c r="C36" s="29">
        <v>0.05</v>
      </c>
      <c r="D36" s="32"/>
      <c r="E36" s="29">
        <f>SUM(E35)</f>
        <v>1</v>
      </c>
      <c r="F36" s="29" t="s">
        <v>53</v>
      </c>
      <c r="G36" s="29">
        <f>SUM(G35)*C36</f>
        <v>0</v>
      </c>
    </row>
    <row r="37" spans="1:7" ht="94.5">
      <c r="A37" s="84">
        <v>9</v>
      </c>
      <c r="B37" s="618" t="s">
        <v>1425</v>
      </c>
      <c r="C37" s="100"/>
      <c r="D37" s="617" t="s">
        <v>1426</v>
      </c>
      <c r="E37" s="100">
        <v>1</v>
      </c>
      <c r="F37" s="91"/>
      <c r="G37" s="100">
        <f t="shared" si="0"/>
        <v>0</v>
      </c>
    </row>
    <row r="38" spans="1:7">
      <c r="A38" s="41"/>
      <c r="B38" s="31" t="s">
        <v>848</v>
      </c>
      <c r="C38" s="29">
        <v>0.15</v>
      </c>
      <c r="D38" s="32"/>
      <c r="E38" s="29">
        <f>SUM(E37)</f>
        <v>1</v>
      </c>
      <c r="F38" s="29" t="s">
        <v>54</v>
      </c>
      <c r="G38" s="29">
        <f>SUM(G37)*C38</f>
        <v>0</v>
      </c>
    </row>
    <row r="39" spans="1:7" ht="47.25">
      <c r="A39" s="84">
        <v>10</v>
      </c>
      <c r="B39" s="618" t="s">
        <v>1427</v>
      </c>
      <c r="C39" s="100"/>
      <c r="D39" s="617" t="s">
        <v>1428</v>
      </c>
      <c r="E39" s="100">
        <v>1</v>
      </c>
      <c r="F39" s="91"/>
      <c r="G39" s="100">
        <f t="shared" si="0"/>
        <v>0</v>
      </c>
    </row>
    <row r="40" spans="1:7">
      <c r="A40" s="178"/>
      <c r="B40" s="179" t="s">
        <v>848</v>
      </c>
      <c r="C40" s="97">
        <v>0.1</v>
      </c>
      <c r="D40" s="98"/>
      <c r="E40" s="97">
        <f>SUM(E39)</f>
        <v>1</v>
      </c>
      <c r="F40" s="97" t="s">
        <v>55</v>
      </c>
      <c r="G40" s="97">
        <f>SUM(G39)*C40</f>
        <v>0</v>
      </c>
    </row>
    <row r="41" spans="1:7" ht="47.25">
      <c r="A41" s="84">
        <v>11</v>
      </c>
      <c r="B41" s="618" t="s">
        <v>1429</v>
      </c>
      <c r="C41" s="100"/>
      <c r="D41" s="617" t="s">
        <v>1430</v>
      </c>
      <c r="E41" s="100">
        <v>1</v>
      </c>
      <c r="F41" s="91"/>
      <c r="G41" s="100">
        <f t="shared" si="0"/>
        <v>0</v>
      </c>
    </row>
    <row r="42" spans="1:7">
      <c r="A42" s="178"/>
      <c r="B42" s="179" t="s">
        <v>848</v>
      </c>
      <c r="C42" s="97">
        <v>0.1</v>
      </c>
      <c r="D42" s="98"/>
      <c r="E42" s="97">
        <f>SUM(E41)</f>
        <v>1</v>
      </c>
      <c r="F42" s="97" t="s">
        <v>56</v>
      </c>
      <c r="G42" s="97">
        <f>SUM(G41)*C42</f>
        <v>0</v>
      </c>
    </row>
    <row r="43" spans="1:7" ht="94.5">
      <c r="A43" s="84">
        <v>12</v>
      </c>
      <c r="B43" s="168" t="s">
        <v>1061</v>
      </c>
      <c r="C43" s="100"/>
      <c r="D43" s="617" t="s">
        <v>1431</v>
      </c>
      <c r="E43" s="100">
        <v>1</v>
      </c>
      <c r="F43" s="91"/>
      <c r="G43" s="100">
        <f t="shared" si="0"/>
        <v>0</v>
      </c>
    </row>
    <row r="44" spans="1:7">
      <c r="A44" s="178"/>
      <c r="B44" s="179" t="s">
        <v>848</v>
      </c>
      <c r="C44" s="97">
        <v>0.1</v>
      </c>
      <c r="D44" s="98"/>
      <c r="E44" s="97">
        <f>SUM(E43)</f>
        <v>1</v>
      </c>
      <c r="F44" s="97" t="s">
        <v>57</v>
      </c>
      <c r="G44" s="97">
        <f>SUM(G43)*C44</f>
        <v>0</v>
      </c>
    </row>
    <row r="45" spans="1:7">
      <c r="A45" s="40"/>
      <c r="B45" s="180" t="s">
        <v>443</v>
      </c>
      <c r="C45" s="39">
        <f>SUBTOTAL(9,C6,C8,C13,C21,C30,C32,C34,C36,C38,C40,C42,C44)</f>
        <v>1</v>
      </c>
      <c r="D45" s="38"/>
      <c r="E45" s="39">
        <v>13</v>
      </c>
      <c r="F45" s="38"/>
      <c r="G45" s="39">
        <f>SUBTOTAL(9,G6,G8,G13,G21,G30,G32,G34,G36,G38,G40,G42,G44)</f>
        <v>0</v>
      </c>
    </row>
    <row r="46" spans="1:7" ht="14.25" customHeight="1">
      <c r="A46" s="12"/>
      <c r="B46" s="22" t="s">
        <v>444</v>
      </c>
      <c r="C46" s="10"/>
      <c r="D46" s="10"/>
      <c r="E46" s="11"/>
      <c r="F46" s="3"/>
      <c r="G46" s="21" t="str">
        <f>IF(G45&lt;=0.5,"низький",IF(G45&lt;=0.75,"середній",(IF(G45&lt;=0.95,"достатній",(IF(G45&lt;=1,"високий"))))))</f>
        <v>низький</v>
      </c>
    </row>
    <row r="47" spans="1:7" s="302" customFormat="1">
      <c r="A47" s="288" t="s">
        <v>182</v>
      </c>
      <c r="B47" s="289"/>
      <c r="C47" s="342"/>
      <c r="E47" s="343"/>
      <c r="F47" s="344"/>
      <c r="G47" s="112"/>
    </row>
    <row r="48" spans="1:7" s="302" customFormat="1" ht="17.25">
      <c r="A48" s="345" t="s">
        <v>589</v>
      </c>
      <c r="B48" s="346"/>
      <c r="C48" s="347"/>
      <c r="D48" s="303"/>
      <c r="E48" s="348"/>
      <c r="F48" s="349"/>
      <c r="G48" s="112"/>
    </row>
    <row r="49" spans="1:7" s="302" customFormat="1" ht="17.25">
      <c r="A49" s="345" t="s">
        <v>590</v>
      </c>
      <c r="B49" s="346"/>
      <c r="C49" s="347"/>
      <c r="D49" s="303"/>
      <c r="E49" s="348"/>
      <c r="F49" s="349"/>
      <c r="G49" s="112"/>
    </row>
    <row r="50" spans="1:7" s="302" customFormat="1" ht="17.25">
      <c r="A50" s="345" t="s">
        <v>591</v>
      </c>
      <c r="B50" s="346"/>
      <c r="C50" s="347"/>
      <c r="D50" s="303"/>
      <c r="E50" s="348"/>
      <c r="F50" s="349"/>
      <c r="G50" s="112"/>
    </row>
    <row r="51" spans="1:7" s="302" customFormat="1" ht="17.25">
      <c r="A51" s="345" t="s">
        <v>592</v>
      </c>
      <c r="B51" s="346"/>
      <c r="C51" s="347"/>
      <c r="D51" s="303"/>
      <c r="E51" s="348"/>
      <c r="F51" s="349"/>
      <c r="G51" s="112"/>
    </row>
    <row r="52" spans="1:7" s="302" customFormat="1" ht="17.25">
      <c r="A52" s="345" t="s">
        <v>593</v>
      </c>
      <c r="B52" s="346"/>
      <c r="C52" s="347"/>
      <c r="D52" s="303"/>
      <c r="E52" s="348"/>
      <c r="F52" s="349"/>
      <c r="G52" s="112"/>
    </row>
    <row r="53" spans="1:7" s="302" customFormat="1" ht="17.25">
      <c r="A53" s="345" t="s">
        <v>594</v>
      </c>
      <c r="B53" s="346"/>
      <c r="C53" s="347"/>
      <c r="D53" s="303"/>
      <c r="E53" s="348"/>
      <c r="F53" s="349"/>
      <c r="G53" s="112"/>
    </row>
    <row r="54" spans="1:7" s="302" customFormat="1" ht="17.25">
      <c r="A54" s="345" t="s">
        <v>595</v>
      </c>
      <c r="B54" s="346"/>
      <c r="C54" s="347"/>
      <c r="D54" s="303"/>
      <c r="E54" s="348"/>
      <c r="F54" s="349"/>
      <c r="G54" s="112"/>
    </row>
    <row r="55" spans="1:7" s="302" customFormat="1">
      <c r="A55" s="350" t="s">
        <v>596</v>
      </c>
      <c r="B55" s="346"/>
      <c r="C55" s="347"/>
      <c r="D55" s="303"/>
      <c r="E55" s="348"/>
      <c r="F55" s="349"/>
      <c r="G55" s="112"/>
    </row>
    <row r="56" spans="1:7" s="302" customFormat="1">
      <c r="A56" s="345" t="s">
        <v>597</v>
      </c>
      <c r="B56" s="346"/>
      <c r="C56" s="347"/>
      <c r="D56" s="303"/>
      <c r="E56" s="348"/>
      <c r="F56" s="349"/>
      <c r="G56" s="112"/>
    </row>
    <row r="57" spans="1:7" s="302" customFormat="1">
      <c r="A57" s="288" t="s">
        <v>792</v>
      </c>
      <c r="B57" s="346"/>
      <c r="C57" s="347"/>
      <c r="D57" s="303"/>
      <c r="E57" s="348"/>
      <c r="F57" s="349"/>
      <c r="G57" s="112"/>
    </row>
    <row r="58" spans="1:7" s="302" customFormat="1">
      <c r="A58" s="288" t="s">
        <v>793</v>
      </c>
      <c r="B58" s="346"/>
      <c r="C58" s="347"/>
      <c r="D58" s="303"/>
      <c r="E58" s="348"/>
      <c r="F58" s="349"/>
      <c r="G58" s="112"/>
    </row>
    <row r="59" spans="1:7" s="302" customFormat="1">
      <c r="A59" s="288" t="s">
        <v>794</v>
      </c>
      <c r="B59" s="346"/>
      <c r="C59" s="347"/>
      <c r="D59" s="303"/>
      <c r="E59" s="348"/>
      <c r="F59" s="349"/>
      <c r="G59" s="112"/>
    </row>
    <row r="60" spans="1:7" s="302" customFormat="1">
      <c r="A60" s="342"/>
      <c r="B60" s="342" t="s">
        <v>20</v>
      </c>
      <c r="C60" s="342"/>
      <c r="D60" s="342"/>
      <c r="E60" s="342"/>
      <c r="F60" s="342"/>
      <c r="G60" s="342"/>
    </row>
    <row r="61" spans="1:7" s="302" customFormat="1">
      <c r="A61" s="351"/>
      <c r="B61" s="351"/>
      <c r="C61" s="351"/>
      <c r="D61" s="351"/>
      <c r="E61" s="351"/>
      <c r="F61" s="351"/>
      <c r="G61" s="351"/>
    </row>
    <row r="62" spans="1:7" s="302" customFormat="1">
      <c r="A62" s="351"/>
      <c r="B62" s="351"/>
      <c r="C62" s="351"/>
      <c r="D62" s="351"/>
      <c r="E62" s="351"/>
      <c r="F62" s="351"/>
      <c r="G62" s="351"/>
    </row>
    <row r="63" spans="1:7" s="302" customFormat="1">
      <c r="A63" s="351"/>
      <c r="B63" s="351"/>
      <c r="C63" s="351"/>
      <c r="D63" s="351"/>
      <c r="E63" s="351"/>
      <c r="F63" s="351"/>
      <c r="G63" s="351"/>
    </row>
    <row r="64" spans="1:7" s="302" customFormat="1">
      <c r="A64" s="351"/>
      <c r="B64" s="351"/>
      <c r="C64" s="351"/>
      <c r="D64" s="351"/>
      <c r="E64" s="351"/>
      <c r="F64" s="351"/>
      <c r="G64" s="351"/>
    </row>
    <row r="65" spans="1:7" s="302" customFormat="1">
      <c r="A65" s="351"/>
      <c r="B65" s="351"/>
      <c r="C65" s="351"/>
      <c r="D65" s="351"/>
      <c r="E65" s="351"/>
      <c r="F65" s="351"/>
      <c r="G65" s="351"/>
    </row>
    <row r="66" spans="1:7" s="302" customFormat="1">
      <c r="A66" s="351"/>
      <c r="B66" s="351"/>
      <c r="C66" s="351"/>
      <c r="D66" s="351"/>
      <c r="E66" s="351"/>
      <c r="F66" s="351"/>
      <c r="G66" s="351"/>
    </row>
    <row r="67" spans="1:7" s="302" customFormat="1">
      <c r="A67" s="351"/>
      <c r="B67" s="351"/>
      <c r="C67" s="351"/>
      <c r="D67" s="351"/>
      <c r="E67" s="351"/>
      <c r="F67" s="351"/>
      <c r="G67" s="351"/>
    </row>
    <row r="68" spans="1:7" s="302" customFormat="1">
      <c r="A68" s="351"/>
      <c r="B68" s="351"/>
      <c r="C68" s="351"/>
      <c r="D68" s="351"/>
      <c r="E68" s="351"/>
      <c r="F68" s="351"/>
      <c r="G68" s="351"/>
    </row>
    <row r="69" spans="1:7" s="302" customFormat="1">
      <c r="A69" s="351"/>
      <c r="B69" s="351"/>
      <c r="C69" s="351"/>
      <c r="D69" s="351"/>
      <c r="E69" s="351"/>
      <c r="F69" s="351"/>
      <c r="G69" s="351"/>
    </row>
    <row r="70" spans="1:7" s="302" customFormat="1">
      <c r="A70" s="351"/>
      <c r="B70" s="351"/>
      <c r="C70" s="351"/>
      <c r="D70" s="351"/>
      <c r="E70" s="351"/>
      <c r="F70" s="351"/>
      <c r="G70" s="351"/>
    </row>
    <row r="71" spans="1:7" s="302" customFormat="1">
      <c r="A71" s="351"/>
      <c r="B71" s="351"/>
      <c r="C71" s="351"/>
      <c r="D71" s="351"/>
      <c r="E71" s="351"/>
      <c r="F71" s="351"/>
      <c r="G71" s="351"/>
    </row>
    <row r="72" spans="1:7" s="302" customFormat="1">
      <c r="A72" s="351"/>
      <c r="B72" s="351"/>
      <c r="C72" s="351"/>
      <c r="D72" s="351"/>
      <c r="E72" s="351"/>
      <c r="F72" s="351"/>
      <c r="G72" s="351"/>
    </row>
    <row r="73" spans="1:7" s="302" customFormat="1">
      <c r="A73" s="351"/>
      <c r="B73" s="351"/>
      <c r="C73" s="351"/>
      <c r="D73" s="351"/>
      <c r="E73" s="351"/>
      <c r="F73" s="351"/>
      <c r="G73" s="351"/>
    </row>
    <row r="74" spans="1:7" s="302" customFormat="1">
      <c r="A74" s="351"/>
      <c r="B74" s="351"/>
      <c r="C74" s="351"/>
      <c r="D74" s="351"/>
      <c r="E74" s="351"/>
      <c r="F74" s="351"/>
      <c r="G74" s="351"/>
    </row>
    <row r="75" spans="1:7" s="302" customFormat="1">
      <c r="A75" s="342"/>
      <c r="B75" s="352" t="s">
        <v>2418</v>
      </c>
      <c r="C75" s="352"/>
      <c r="D75" s="352"/>
      <c r="E75" s="352"/>
      <c r="F75" s="352"/>
      <c r="G75" s="352"/>
    </row>
    <row r="76" spans="1:7" s="302" customFormat="1">
      <c r="A76" s="342"/>
      <c r="B76" s="353"/>
      <c r="C76" s="353"/>
      <c r="D76" s="353"/>
      <c r="E76" s="353"/>
      <c r="F76" s="353"/>
      <c r="G76" s="353"/>
    </row>
    <row r="77" spans="1:7" s="302" customFormat="1">
      <c r="A77" s="342"/>
      <c r="B77" s="352" t="s">
        <v>22</v>
      </c>
      <c r="C77" s="352"/>
      <c r="D77" s="352"/>
      <c r="E77" s="352"/>
      <c r="F77" s="352"/>
      <c r="G77" s="352"/>
    </row>
    <row r="78" spans="1:7" s="302" customFormat="1">
      <c r="A78" s="342"/>
      <c r="B78" s="353"/>
      <c r="C78" s="353"/>
      <c r="D78" s="353"/>
      <c r="E78" s="353"/>
      <c r="F78" s="353"/>
      <c r="G78" s="353"/>
    </row>
    <row r="79" spans="1:7" s="302" customFormat="1">
      <c r="A79" s="342"/>
      <c r="B79" s="352" t="s">
        <v>23</v>
      </c>
      <c r="C79" s="352"/>
      <c r="D79" s="352"/>
      <c r="E79" s="352"/>
      <c r="F79" s="352"/>
      <c r="G79" s="352"/>
    </row>
    <row r="80" spans="1:7" s="302" customFormat="1">
      <c r="A80" s="342"/>
      <c r="B80" s="352" t="s">
        <v>24</v>
      </c>
      <c r="C80" s="352"/>
      <c r="D80" s="352"/>
      <c r="E80" s="352"/>
      <c r="F80" s="352"/>
      <c r="G80" s="352"/>
    </row>
    <row r="81" spans="1:7" s="303" customFormat="1">
      <c r="A81" s="346"/>
      <c r="B81" s="346"/>
      <c r="E81" s="333"/>
    </row>
    <row r="82" spans="1:7">
      <c r="A82" s="290"/>
      <c r="B82" s="289"/>
      <c r="D82" s="101"/>
      <c r="G82" s="101"/>
    </row>
    <row r="83" spans="1:7">
      <c r="A83" s="290"/>
      <c r="B83" s="289"/>
      <c r="D83" s="101"/>
      <c r="G83" s="101"/>
    </row>
    <row r="84" spans="1:7">
      <c r="A84" s="290"/>
      <c r="B84" s="289"/>
      <c r="D84" s="101"/>
      <c r="G84" s="101"/>
    </row>
  </sheetData>
  <autoFilter ref="A4:G60"/>
  <mergeCells count="2">
    <mergeCell ref="A1:G1"/>
    <mergeCell ref="A2:G2"/>
  </mergeCells>
  <phoneticPr fontId="4" type="noConversion"/>
  <pageMargins left="0.7" right="0.7" top="0.75" bottom="0.75" header="0.3" footer="0.3"/>
  <pageSetup paperSize="9" scale="60" orientation="portrait" r:id="rId1"/>
</worksheet>
</file>

<file path=xl/worksheets/sheet52.xml><?xml version="1.0" encoding="utf-8"?>
<worksheet xmlns="http://schemas.openxmlformats.org/spreadsheetml/2006/main" xmlns:r="http://schemas.openxmlformats.org/officeDocument/2006/relationships">
  <dimension ref="A1:G60"/>
  <sheetViews>
    <sheetView workbookViewId="0">
      <selection activeCell="A2" sqref="A2:G2"/>
    </sheetView>
  </sheetViews>
  <sheetFormatPr defaultRowHeight="15.75"/>
  <cols>
    <col min="1" max="1" width="7" style="247" bestFit="1" customWidth="1"/>
    <col min="2" max="2" width="20.85546875" style="107" customWidth="1"/>
    <col min="3" max="3" width="13.28515625" style="247" customWidth="1"/>
    <col min="4" max="4" width="40.42578125" style="8" customWidth="1"/>
    <col min="5" max="5" width="16.42578125" style="247" customWidth="1"/>
    <col min="6" max="6" width="17.7109375" style="8" customWidth="1"/>
    <col min="7" max="7" width="13.5703125" style="8" bestFit="1" customWidth="1"/>
    <col min="8" max="16384" width="9.140625" style="8"/>
  </cols>
  <sheetData>
    <row r="1" spans="1:7" ht="15.75" customHeight="1">
      <c r="A1" s="1131" t="s">
        <v>446</v>
      </c>
      <c r="B1" s="1131"/>
      <c r="C1" s="1131"/>
      <c r="D1" s="1131"/>
      <c r="E1" s="1131"/>
      <c r="F1" s="1131"/>
      <c r="G1" s="1131"/>
    </row>
    <row r="2" spans="1:7" ht="32.25" customHeight="1">
      <c r="A2" s="1351" t="s">
        <v>802</v>
      </c>
      <c r="B2" s="1351"/>
      <c r="C2" s="1351"/>
      <c r="D2" s="1351"/>
      <c r="E2" s="1351"/>
      <c r="F2" s="1351"/>
      <c r="G2" s="1351"/>
    </row>
    <row r="4" spans="1:7" ht="47.25" customHeight="1">
      <c r="A4" s="5" t="s">
        <v>434</v>
      </c>
      <c r="B4" s="5" t="s">
        <v>338</v>
      </c>
      <c r="C4" s="5" t="s">
        <v>771</v>
      </c>
      <c r="D4" s="5" t="s">
        <v>333</v>
      </c>
      <c r="E4" s="5" t="s">
        <v>337</v>
      </c>
      <c r="F4" s="5" t="s">
        <v>770</v>
      </c>
      <c r="G4" s="5" t="s">
        <v>82</v>
      </c>
    </row>
    <row r="5" spans="1:7" ht="63">
      <c r="A5" s="21">
        <v>1</v>
      </c>
      <c r="B5" s="292" t="s">
        <v>767</v>
      </c>
      <c r="C5" s="291"/>
      <c r="D5" s="2" t="s">
        <v>803</v>
      </c>
      <c r="E5" s="291">
        <v>1</v>
      </c>
      <c r="F5" s="1"/>
      <c r="G5" s="11">
        <f>F5*E5</f>
        <v>0</v>
      </c>
    </row>
    <row r="6" spans="1:7">
      <c r="A6" s="27"/>
      <c r="B6" s="28" t="s">
        <v>848</v>
      </c>
      <c r="C6" s="27">
        <v>0.2</v>
      </c>
      <c r="D6" s="32"/>
      <c r="E6" s="34">
        <f>SUM(E5:E5)</f>
        <v>1</v>
      </c>
      <c r="F6" s="29" t="s">
        <v>46</v>
      </c>
      <c r="G6" s="29">
        <f>SUM(G5:G5)*C6</f>
        <v>0</v>
      </c>
    </row>
    <row r="7" spans="1:7" ht="31.5">
      <c r="A7" s="21">
        <v>2</v>
      </c>
      <c r="B7" s="292" t="s">
        <v>768</v>
      </c>
      <c r="C7" s="291"/>
      <c r="D7" s="2" t="s">
        <v>804</v>
      </c>
      <c r="E7" s="291">
        <v>0.4</v>
      </c>
      <c r="F7" s="1"/>
      <c r="G7" s="11">
        <f t="shared" ref="G7:G22" si="0">F7*E7</f>
        <v>0</v>
      </c>
    </row>
    <row r="8" spans="1:7" ht="47.25">
      <c r="A8" s="21"/>
      <c r="B8" s="292"/>
      <c r="C8" s="291"/>
      <c r="D8" s="2" t="s">
        <v>805</v>
      </c>
      <c r="E8" s="291">
        <v>0.35</v>
      </c>
      <c r="F8" s="1"/>
      <c r="G8" s="11">
        <f t="shared" si="0"/>
        <v>0</v>
      </c>
    </row>
    <row r="9" spans="1:7" ht="47.25">
      <c r="A9" s="21"/>
      <c r="B9" s="292"/>
      <c r="C9" s="291"/>
      <c r="D9" s="2" t="s">
        <v>728</v>
      </c>
      <c r="E9" s="291">
        <v>0.25</v>
      </c>
      <c r="F9" s="1"/>
      <c r="G9" s="11">
        <f t="shared" si="0"/>
        <v>0</v>
      </c>
    </row>
    <row r="10" spans="1:7">
      <c r="A10" s="27"/>
      <c r="B10" s="28" t="s">
        <v>848</v>
      </c>
      <c r="C10" s="27">
        <v>0.2</v>
      </c>
      <c r="D10" s="32"/>
      <c r="E10" s="34">
        <f>SUM(E7:E9)</f>
        <v>1</v>
      </c>
      <c r="F10" s="29" t="s">
        <v>47</v>
      </c>
      <c r="G10" s="29">
        <f>SUM(G7:G9)*C10</f>
        <v>0</v>
      </c>
    </row>
    <row r="11" spans="1:7" ht="78.75">
      <c r="A11" s="21">
        <v>3</v>
      </c>
      <c r="B11" s="259" t="s">
        <v>806</v>
      </c>
      <c r="C11" s="672"/>
      <c r="D11" s="673" t="s">
        <v>807</v>
      </c>
      <c r="E11" s="291">
        <v>1</v>
      </c>
      <c r="F11" s="1"/>
      <c r="G11" s="11">
        <f t="shared" si="0"/>
        <v>0</v>
      </c>
    </row>
    <row r="12" spans="1:7">
      <c r="A12" s="27"/>
      <c r="B12" s="28" t="s">
        <v>848</v>
      </c>
      <c r="C12" s="27">
        <v>0.2</v>
      </c>
      <c r="D12" s="32"/>
      <c r="E12" s="34">
        <f>SUM(E11)</f>
        <v>1</v>
      </c>
      <c r="F12" s="29" t="s">
        <v>48</v>
      </c>
      <c r="G12" s="29">
        <f>SUM(G11)*C12</f>
        <v>0</v>
      </c>
    </row>
    <row r="13" spans="1:7" ht="48" customHeight="1">
      <c r="A13" s="21">
        <v>4</v>
      </c>
      <c r="B13" s="292" t="s">
        <v>808</v>
      </c>
      <c r="C13" s="291"/>
      <c r="D13" s="674" t="s">
        <v>809</v>
      </c>
      <c r="E13" s="291">
        <v>0.3</v>
      </c>
      <c r="F13" s="1"/>
      <c r="G13" s="11">
        <f t="shared" si="0"/>
        <v>0</v>
      </c>
    </row>
    <row r="14" spans="1:7" ht="47.25">
      <c r="A14" s="21"/>
      <c r="B14" s="292"/>
      <c r="C14" s="291"/>
      <c r="D14" s="675" t="s">
        <v>810</v>
      </c>
      <c r="E14" s="291">
        <v>0.3</v>
      </c>
      <c r="F14" s="1"/>
      <c r="G14" s="11">
        <f t="shared" si="0"/>
        <v>0</v>
      </c>
    </row>
    <row r="15" spans="1:7" ht="31.5">
      <c r="A15" s="21"/>
      <c r="B15" s="292"/>
      <c r="C15" s="291"/>
      <c r="D15" s="499" t="s">
        <v>811</v>
      </c>
      <c r="E15" s="291">
        <v>0.2</v>
      </c>
      <c r="F15" s="1"/>
      <c r="G15" s="11">
        <f t="shared" si="0"/>
        <v>0</v>
      </c>
    </row>
    <row r="16" spans="1:7" ht="31.5">
      <c r="A16" s="21"/>
      <c r="B16" s="292"/>
      <c r="C16" s="291"/>
      <c r="D16" s="499" t="s">
        <v>812</v>
      </c>
      <c r="E16" s="291">
        <v>0.2</v>
      </c>
      <c r="F16" s="1"/>
      <c r="G16" s="11">
        <f t="shared" si="0"/>
        <v>0</v>
      </c>
    </row>
    <row r="17" spans="1:7">
      <c r="A17" s="27"/>
      <c r="B17" s="28" t="s">
        <v>848</v>
      </c>
      <c r="C17" s="27">
        <v>0.2</v>
      </c>
      <c r="D17" s="98"/>
      <c r="E17" s="249">
        <f>SUM(E13:E16)</f>
        <v>1</v>
      </c>
      <c r="F17" s="29" t="s">
        <v>49</v>
      </c>
      <c r="G17" s="29">
        <f>SUM(G13:G16)*C17</f>
        <v>0</v>
      </c>
    </row>
    <row r="18" spans="1:7" ht="48" customHeight="1">
      <c r="A18" s="21">
        <v>5</v>
      </c>
      <c r="B18" s="292" t="s">
        <v>571</v>
      </c>
      <c r="C18" s="676"/>
      <c r="D18" s="617" t="s">
        <v>813</v>
      </c>
      <c r="E18" s="677">
        <v>0.1</v>
      </c>
      <c r="F18" s="1"/>
      <c r="G18" s="11">
        <f t="shared" si="0"/>
        <v>0</v>
      </c>
    </row>
    <row r="19" spans="1:7" ht="31.5">
      <c r="A19" s="21"/>
      <c r="B19" s="292"/>
      <c r="C19" s="676"/>
      <c r="D19" s="2" t="s">
        <v>814</v>
      </c>
      <c r="E19" s="677">
        <v>0.1</v>
      </c>
      <c r="F19" s="1"/>
      <c r="G19" s="11">
        <f t="shared" si="0"/>
        <v>0</v>
      </c>
    </row>
    <row r="20" spans="1:7" ht="31.5">
      <c r="A20" s="21"/>
      <c r="B20" s="292"/>
      <c r="C20" s="676"/>
      <c r="D20" s="2" t="s">
        <v>815</v>
      </c>
      <c r="E20" s="677">
        <v>0.35</v>
      </c>
      <c r="F20" s="1"/>
      <c r="G20" s="11">
        <f t="shared" si="0"/>
        <v>0</v>
      </c>
    </row>
    <row r="21" spans="1:7" ht="47.25">
      <c r="A21" s="21"/>
      <c r="B21" s="292"/>
      <c r="C21" s="676"/>
      <c r="D21" s="2" t="s">
        <v>816</v>
      </c>
      <c r="E21" s="677">
        <v>0.25</v>
      </c>
      <c r="F21" s="1"/>
      <c r="G21" s="11">
        <f t="shared" si="0"/>
        <v>0</v>
      </c>
    </row>
    <row r="22" spans="1:7" ht="47.25">
      <c r="A22" s="21"/>
      <c r="B22" s="292"/>
      <c r="C22" s="676"/>
      <c r="D22" s="2" t="s">
        <v>817</v>
      </c>
      <c r="E22" s="677">
        <v>0.2</v>
      </c>
      <c r="F22" s="1"/>
      <c r="G22" s="11">
        <f t="shared" si="0"/>
        <v>0</v>
      </c>
    </row>
    <row r="23" spans="1:7">
      <c r="A23" s="27"/>
      <c r="B23" s="28" t="s">
        <v>848</v>
      </c>
      <c r="C23" s="27">
        <v>0.2</v>
      </c>
      <c r="D23" s="622"/>
      <c r="E23" s="249">
        <f>SUM(E18:E22)</f>
        <v>1</v>
      </c>
      <c r="F23" s="29" t="s">
        <v>50</v>
      </c>
      <c r="G23" s="29">
        <f>SUM(G18:G22)*C23</f>
        <v>0</v>
      </c>
    </row>
    <row r="24" spans="1:7" s="25" customFormat="1">
      <c r="A24" s="246"/>
      <c r="B24" s="36" t="s">
        <v>443</v>
      </c>
      <c r="C24" s="246">
        <f>SUM(C6+C10+C12+C17+C23)</f>
        <v>1</v>
      </c>
      <c r="D24" s="38"/>
      <c r="E24" s="246">
        <v>5</v>
      </c>
      <c r="F24" s="38"/>
      <c r="G24" s="39">
        <f>SUM(G6+G10+G12+G17+G23)</f>
        <v>0</v>
      </c>
    </row>
    <row r="25" spans="1:7" s="25" customFormat="1" ht="14.25" customHeight="1">
      <c r="A25" s="21"/>
      <c r="B25" s="26" t="s">
        <v>444</v>
      </c>
      <c r="C25" s="18"/>
      <c r="D25" s="10"/>
      <c r="E25" s="21"/>
      <c r="F25" s="678"/>
      <c r="G25" s="21" t="str">
        <f>IF(G24&lt;=0.5,"низький",IF(G24&lt;=0.75,"середній",(IF(G24&lt;=0.95,"достатній",(IF(G24&lt;=1,"високий"))))))</f>
        <v>низький</v>
      </c>
    </row>
    <row r="26" spans="1:7" s="302" customFormat="1">
      <c r="A26" s="288" t="s">
        <v>182</v>
      </c>
      <c r="B26" s="289"/>
      <c r="C26" s="342"/>
      <c r="E26" s="343"/>
      <c r="F26" s="344"/>
      <c r="G26" s="112"/>
    </row>
    <row r="27" spans="1:7" s="302" customFormat="1" ht="17.25">
      <c r="A27" s="345" t="s">
        <v>589</v>
      </c>
      <c r="B27" s="346"/>
      <c r="C27" s="347"/>
      <c r="D27" s="303"/>
      <c r="E27" s="348"/>
      <c r="F27" s="349"/>
      <c r="G27" s="112"/>
    </row>
    <row r="28" spans="1:7" s="302" customFormat="1" ht="17.25">
      <c r="A28" s="345" t="s">
        <v>590</v>
      </c>
      <c r="B28" s="346"/>
      <c r="C28" s="347"/>
      <c r="D28" s="303"/>
      <c r="E28" s="348"/>
      <c r="F28" s="349"/>
      <c r="G28" s="112"/>
    </row>
    <row r="29" spans="1:7" s="302" customFormat="1" ht="17.25">
      <c r="A29" s="345" t="s">
        <v>591</v>
      </c>
      <c r="B29" s="346"/>
      <c r="C29" s="347"/>
      <c r="D29" s="303"/>
      <c r="E29" s="348"/>
      <c r="F29" s="349"/>
      <c r="G29" s="112"/>
    </row>
    <row r="30" spans="1:7" s="302" customFormat="1" ht="17.25">
      <c r="A30" s="345" t="s">
        <v>592</v>
      </c>
      <c r="B30" s="346"/>
      <c r="C30" s="347"/>
      <c r="D30" s="303"/>
      <c r="E30" s="348"/>
      <c r="F30" s="349"/>
      <c r="G30" s="112"/>
    </row>
    <row r="31" spans="1:7" s="302" customFormat="1" ht="17.25">
      <c r="A31" s="345" t="s">
        <v>593</v>
      </c>
      <c r="B31" s="346"/>
      <c r="C31" s="347"/>
      <c r="D31" s="303"/>
      <c r="E31" s="348"/>
      <c r="F31" s="349"/>
      <c r="G31" s="112"/>
    </row>
    <row r="32" spans="1:7" s="302" customFormat="1" ht="17.25">
      <c r="A32" s="345" t="s">
        <v>594</v>
      </c>
      <c r="B32" s="346"/>
      <c r="C32" s="347"/>
      <c r="D32" s="303"/>
      <c r="E32" s="348"/>
      <c r="F32" s="349"/>
      <c r="G32" s="112"/>
    </row>
    <row r="33" spans="1:7" s="302" customFormat="1" ht="17.25">
      <c r="A33" s="345" t="s">
        <v>595</v>
      </c>
      <c r="B33" s="346"/>
      <c r="C33" s="347"/>
      <c r="D33" s="303"/>
      <c r="E33" s="348"/>
      <c r="F33" s="349"/>
      <c r="G33" s="112"/>
    </row>
    <row r="34" spans="1:7" s="302" customFormat="1">
      <c r="A34" s="350" t="s">
        <v>596</v>
      </c>
      <c r="B34" s="346"/>
      <c r="C34" s="347"/>
      <c r="D34" s="303"/>
      <c r="E34" s="348"/>
      <c r="F34" s="349"/>
      <c r="G34" s="112"/>
    </row>
    <row r="35" spans="1:7" s="302" customFormat="1">
      <c r="A35" s="345" t="s">
        <v>597</v>
      </c>
      <c r="B35" s="346"/>
      <c r="C35" s="347"/>
      <c r="D35" s="303"/>
      <c r="E35" s="348"/>
      <c r="F35" s="349"/>
      <c r="G35" s="112"/>
    </row>
    <row r="36" spans="1:7" s="302" customFormat="1">
      <c r="A36" s="288" t="s">
        <v>792</v>
      </c>
      <c r="B36" s="346"/>
      <c r="C36" s="347"/>
      <c r="D36" s="303"/>
      <c r="E36" s="348"/>
      <c r="F36" s="349"/>
      <c r="G36" s="112"/>
    </row>
    <row r="37" spans="1:7" s="302" customFormat="1">
      <c r="A37" s="288" t="s">
        <v>793</v>
      </c>
      <c r="B37" s="346"/>
      <c r="C37" s="347"/>
      <c r="D37" s="303"/>
      <c r="E37" s="348"/>
      <c r="F37" s="349"/>
      <c r="G37" s="112"/>
    </row>
    <row r="38" spans="1:7" s="302" customFormat="1">
      <c r="A38" s="288" t="s">
        <v>794</v>
      </c>
      <c r="B38" s="346"/>
      <c r="C38" s="347"/>
      <c r="D38" s="303"/>
      <c r="E38" s="348"/>
      <c r="F38" s="349"/>
      <c r="G38" s="112"/>
    </row>
    <row r="39" spans="1:7" s="302" customFormat="1">
      <c r="A39" s="342"/>
      <c r="B39" s="342" t="s">
        <v>20</v>
      </c>
      <c r="C39" s="342"/>
      <c r="D39" s="342"/>
      <c r="E39" s="342"/>
      <c r="F39" s="342"/>
      <c r="G39" s="342"/>
    </row>
    <row r="40" spans="1:7" s="302" customFormat="1">
      <c r="A40" s="351"/>
      <c r="B40" s="351"/>
      <c r="C40" s="351"/>
      <c r="D40" s="351"/>
      <c r="E40" s="351"/>
      <c r="F40" s="351"/>
      <c r="G40" s="351"/>
    </row>
    <row r="41" spans="1:7" s="302" customFormat="1">
      <c r="A41" s="351"/>
      <c r="B41" s="351"/>
      <c r="C41" s="351"/>
      <c r="D41" s="351"/>
      <c r="E41" s="351"/>
      <c r="F41" s="351"/>
      <c r="G41" s="351"/>
    </row>
    <row r="42" spans="1:7" s="302" customFormat="1">
      <c r="A42" s="351"/>
      <c r="B42" s="351"/>
      <c r="C42" s="351"/>
      <c r="D42" s="351"/>
      <c r="E42" s="351"/>
      <c r="F42" s="351"/>
      <c r="G42" s="351"/>
    </row>
    <row r="43" spans="1:7" s="302" customFormat="1">
      <c r="A43" s="351"/>
      <c r="B43" s="351"/>
      <c r="C43" s="351"/>
      <c r="D43" s="351"/>
      <c r="E43" s="351"/>
      <c r="F43" s="351"/>
      <c r="G43" s="351"/>
    </row>
    <row r="44" spans="1:7" s="302" customFormat="1">
      <c r="A44" s="351"/>
      <c r="B44" s="351"/>
      <c r="C44" s="351"/>
      <c r="D44" s="351"/>
      <c r="E44" s="351"/>
      <c r="F44" s="351"/>
      <c r="G44" s="351"/>
    </row>
    <row r="45" spans="1:7" s="302" customFormat="1">
      <c r="A45" s="351"/>
      <c r="B45" s="351"/>
      <c r="C45" s="351"/>
      <c r="D45" s="351"/>
      <c r="E45" s="351"/>
      <c r="F45" s="351"/>
      <c r="G45" s="351"/>
    </row>
    <row r="46" spans="1:7" s="302" customFormat="1">
      <c r="A46" s="351"/>
      <c r="B46" s="351"/>
      <c r="C46" s="351"/>
      <c r="D46" s="351"/>
      <c r="E46" s="351"/>
      <c r="F46" s="351"/>
      <c r="G46" s="351"/>
    </row>
    <row r="47" spans="1:7" s="302" customFormat="1">
      <c r="A47" s="351"/>
      <c r="B47" s="351"/>
      <c r="C47" s="351"/>
      <c r="D47" s="351"/>
      <c r="E47" s="351"/>
      <c r="F47" s="351"/>
      <c r="G47" s="351"/>
    </row>
    <row r="48" spans="1:7" s="302" customFormat="1">
      <c r="A48" s="351"/>
      <c r="B48" s="351"/>
      <c r="C48" s="351"/>
      <c r="D48" s="351"/>
      <c r="E48" s="351"/>
      <c r="F48" s="351"/>
      <c r="G48" s="351"/>
    </row>
    <row r="49" spans="1:7" s="302" customFormat="1">
      <c r="A49" s="351"/>
      <c r="B49" s="351"/>
      <c r="C49" s="351"/>
      <c r="D49" s="351"/>
      <c r="E49" s="351"/>
      <c r="F49" s="351"/>
      <c r="G49" s="351"/>
    </row>
    <row r="50" spans="1:7" s="302" customFormat="1">
      <c r="A50" s="351"/>
      <c r="B50" s="351"/>
      <c r="C50" s="351"/>
      <c r="D50" s="351"/>
      <c r="E50" s="351"/>
      <c r="F50" s="351"/>
      <c r="G50" s="351"/>
    </row>
    <row r="51" spans="1:7" s="302" customFormat="1">
      <c r="A51" s="351"/>
      <c r="B51" s="351"/>
      <c r="C51" s="351"/>
      <c r="D51" s="351"/>
      <c r="E51" s="351"/>
      <c r="F51" s="351"/>
      <c r="G51" s="351"/>
    </row>
    <row r="52" spans="1:7" s="302" customFormat="1">
      <c r="A52" s="351"/>
      <c r="B52" s="351"/>
      <c r="C52" s="351"/>
      <c r="D52" s="351"/>
      <c r="E52" s="351"/>
      <c r="F52" s="351"/>
      <c r="G52" s="351"/>
    </row>
    <row r="53" spans="1:7" s="302" customFormat="1">
      <c r="A53" s="351"/>
      <c r="B53" s="351"/>
      <c r="C53" s="351"/>
      <c r="D53" s="351"/>
      <c r="E53" s="351"/>
      <c r="F53" s="351"/>
      <c r="G53" s="351"/>
    </row>
    <row r="54" spans="1:7" s="302" customFormat="1">
      <c r="A54" s="342"/>
      <c r="B54" s="352" t="s">
        <v>2418</v>
      </c>
      <c r="C54" s="352"/>
      <c r="D54" s="352"/>
      <c r="E54" s="352"/>
      <c r="F54" s="352"/>
      <c r="G54" s="352"/>
    </row>
    <row r="55" spans="1:7" s="302" customFormat="1">
      <c r="A55" s="342"/>
      <c r="B55" s="353"/>
      <c r="C55" s="353"/>
      <c r="D55" s="353"/>
      <c r="E55" s="353"/>
      <c r="F55" s="353"/>
      <c r="G55" s="353"/>
    </row>
    <row r="56" spans="1:7" s="302" customFormat="1">
      <c r="A56" s="342"/>
      <c r="B56" s="352" t="s">
        <v>22</v>
      </c>
      <c r="C56" s="352"/>
      <c r="D56" s="352"/>
      <c r="E56" s="352"/>
      <c r="F56" s="352"/>
      <c r="G56" s="352"/>
    </row>
    <row r="57" spans="1:7" s="302" customFormat="1">
      <c r="A57" s="342"/>
      <c r="B57" s="353"/>
      <c r="C57" s="353"/>
      <c r="D57" s="353"/>
      <c r="E57" s="353"/>
      <c r="F57" s="353"/>
      <c r="G57" s="353"/>
    </row>
    <row r="58" spans="1:7" s="302" customFormat="1">
      <c r="A58" s="342"/>
      <c r="B58" s="352" t="s">
        <v>23</v>
      </c>
      <c r="C58" s="352"/>
      <c r="D58" s="352"/>
      <c r="E58" s="352"/>
      <c r="F58" s="352"/>
      <c r="G58" s="352"/>
    </row>
    <row r="59" spans="1:7" s="302" customFormat="1">
      <c r="A59" s="342"/>
      <c r="B59" s="352" t="s">
        <v>24</v>
      </c>
      <c r="C59" s="352"/>
      <c r="D59" s="352"/>
      <c r="E59" s="352"/>
      <c r="F59" s="352"/>
      <c r="G59" s="352"/>
    </row>
    <row r="60" spans="1:7" s="303" customFormat="1">
      <c r="A60" s="346"/>
      <c r="B60" s="346"/>
      <c r="E60" s="333"/>
    </row>
  </sheetData>
  <mergeCells count="2">
    <mergeCell ref="A1:G1"/>
    <mergeCell ref="A2:G2"/>
  </mergeCells>
  <phoneticPr fontId="4" type="noConversion"/>
  <pageMargins left="0.7" right="0.7" top="0.75" bottom="0.75" header="0.3" footer="0.3"/>
  <pageSetup paperSize="9" scale="65" orientation="portrait" r:id="rId1"/>
</worksheet>
</file>

<file path=xl/worksheets/sheet53.xml><?xml version="1.0" encoding="utf-8"?>
<worksheet xmlns="http://schemas.openxmlformats.org/spreadsheetml/2006/main" xmlns:r="http://schemas.openxmlformats.org/officeDocument/2006/relationships">
  <dimension ref="A1:G60"/>
  <sheetViews>
    <sheetView workbookViewId="0">
      <selection activeCell="A2" sqref="A2:G2"/>
    </sheetView>
  </sheetViews>
  <sheetFormatPr defaultRowHeight="15.75"/>
  <cols>
    <col min="1" max="1" width="7" style="247" bestFit="1" customWidth="1"/>
    <col min="2" max="2" width="20.85546875" style="107" customWidth="1"/>
    <col min="3" max="3" width="13.28515625" style="247" customWidth="1"/>
    <col min="4" max="4" width="40.42578125" style="8" customWidth="1"/>
    <col min="5" max="5" width="16.42578125" style="247" customWidth="1"/>
    <col min="6" max="6" width="17.7109375" style="8" customWidth="1"/>
    <col min="7" max="7" width="13.5703125" style="8" bestFit="1" customWidth="1"/>
    <col min="8" max="16384" width="9.140625" style="8"/>
  </cols>
  <sheetData>
    <row r="1" spans="1:7" ht="15.75" customHeight="1">
      <c r="A1" s="1131" t="s">
        <v>446</v>
      </c>
      <c r="B1" s="1131"/>
      <c r="C1" s="1131"/>
      <c r="D1" s="1131"/>
      <c r="E1" s="1131"/>
      <c r="F1" s="1131"/>
      <c r="G1" s="1131"/>
    </row>
    <row r="2" spans="1:7" ht="32.25" customHeight="1">
      <c r="A2" s="1351" t="s">
        <v>1589</v>
      </c>
      <c r="B2" s="1351"/>
      <c r="C2" s="1351"/>
      <c r="D2" s="1351"/>
      <c r="E2" s="1351"/>
      <c r="F2" s="1351"/>
      <c r="G2" s="1351"/>
    </row>
    <row r="4" spans="1:7" ht="47.25" customHeight="1">
      <c r="A4" s="5" t="s">
        <v>434</v>
      </c>
      <c r="B4" s="5" t="s">
        <v>338</v>
      </c>
      <c r="C4" s="5" t="s">
        <v>771</v>
      </c>
      <c r="D4" s="5" t="s">
        <v>333</v>
      </c>
      <c r="E4" s="5" t="s">
        <v>337</v>
      </c>
      <c r="F4" s="5" t="s">
        <v>770</v>
      </c>
      <c r="G4" s="5" t="s">
        <v>82</v>
      </c>
    </row>
    <row r="5" spans="1:7" ht="63">
      <c r="A5" s="21">
        <v>1</v>
      </c>
      <c r="B5" s="292" t="s">
        <v>767</v>
      </c>
      <c r="C5" s="291"/>
      <c r="D5" s="2" t="s">
        <v>803</v>
      </c>
      <c r="E5" s="291">
        <v>1</v>
      </c>
      <c r="F5" s="1"/>
      <c r="G5" s="11">
        <f>F5*E5</f>
        <v>0</v>
      </c>
    </row>
    <row r="6" spans="1:7">
      <c r="A6" s="27"/>
      <c r="B6" s="28" t="s">
        <v>848</v>
      </c>
      <c r="C6" s="27">
        <v>0.2</v>
      </c>
      <c r="D6" s="32"/>
      <c r="E6" s="34">
        <f>SUM(E5:E5)</f>
        <v>1</v>
      </c>
      <c r="F6" s="29" t="s">
        <v>46</v>
      </c>
      <c r="G6" s="29">
        <f>SUM(G5:G5)*C6</f>
        <v>0</v>
      </c>
    </row>
    <row r="7" spans="1:7" ht="47.25">
      <c r="A7" s="21">
        <v>2</v>
      </c>
      <c r="B7" s="292" t="s">
        <v>768</v>
      </c>
      <c r="C7" s="291"/>
      <c r="D7" s="2" t="s">
        <v>818</v>
      </c>
      <c r="E7" s="291">
        <v>0.4</v>
      </c>
      <c r="F7" s="1"/>
      <c r="G7" s="11">
        <f t="shared" ref="G7:G22" si="0">F7*E7</f>
        <v>0</v>
      </c>
    </row>
    <row r="8" spans="1:7" ht="47.25">
      <c r="A8" s="21"/>
      <c r="B8" s="292"/>
      <c r="C8" s="291"/>
      <c r="D8" s="2" t="s">
        <v>805</v>
      </c>
      <c r="E8" s="291">
        <v>0.25</v>
      </c>
      <c r="F8" s="1"/>
      <c r="G8" s="11">
        <f t="shared" si="0"/>
        <v>0</v>
      </c>
    </row>
    <row r="9" spans="1:7" ht="94.5">
      <c r="A9" s="21"/>
      <c r="B9" s="292"/>
      <c r="C9" s="291"/>
      <c r="D9" s="499" t="s">
        <v>819</v>
      </c>
      <c r="E9" s="291">
        <v>0.15</v>
      </c>
      <c r="F9" s="1"/>
      <c r="G9" s="11">
        <f t="shared" si="0"/>
        <v>0</v>
      </c>
    </row>
    <row r="10" spans="1:7" ht="47.25">
      <c r="A10" s="21"/>
      <c r="B10" s="292"/>
      <c r="C10" s="291"/>
      <c r="D10" s="499" t="s">
        <v>820</v>
      </c>
      <c r="E10" s="291">
        <v>0.15</v>
      </c>
      <c r="F10" s="1"/>
      <c r="G10" s="11">
        <f t="shared" si="0"/>
        <v>0</v>
      </c>
    </row>
    <row r="11" spans="1:7" ht="31.5">
      <c r="A11" s="21"/>
      <c r="B11" s="292"/>
      <c r="C11" s="291"/>
      <c r="D11" s="499" t="s">
        <v>821</v>
      </c>
      <c r="E11" s="291">
        <v>0.05</v>
      </c>
      <c r="F11" s="1"/>
      <c r="G11" s="11">
        <f t="shared" si="0"/>
        <v>0</v>
      </c>
    </row>
    <row r="12" spans="1:7">
      <c r="A12" s="27"/>
      <c r="B12" s="28" t="s">
        <v>848</v>
      </c>
      <c r="C12" s="27">
        <v>0.2</v>
      </c>
      <c r="D12" s="32"/>
      <c r="E12" s="34">
        <f>SUM(E7:E11)</f>
        <v>1</v>
      </c>
      <c r="F12" s="29" t="s">
        <v>47</v>
      </c>
      <c r="G12" s="29">
        <f>SUM(G7:G11)*C12</f>
        <v>0</v>
      </c>
    </row>
    <row r="13" spans="1:7" ht="63">
      <c r="A13" s="21">
        <v>3</v>
      </c>
      <c r="B13" s="259" t="s">
        <v>822</v>
      </c>
      <c r="C13" s="672"/>
      <c r="D13" s="673" t="s">
        <v>823</v>
      </c>
      <c r="E13" s="291">
        <v>1</v>
      </c>
      <c r="F13" s="1"/>
      <c r="G13" s="11">
        <f t="shared" si="0"/>
        <v>0</v>
      </c>
    </row>
    <row r="14" spans="1:7">
      <c r="A14" s="27"/>
      <c r="B14" s="28" t="s">
        <v>848</v>
      </c>
      <c r="C14" s="27">
        <v>0.2</v>
      </c>
      <c r="D14" s="32"/>
      <c r="E14" s="34">
        <f>SUM(E13)</f>
        <v>1</v>
      </c>
      <c r="F14" s="29" t="s">
        <v>48</v>
      </c>
      <c r="G14" s="29">
        <f>SUM(G13)*C14</f>
        <v>0</v>
      </c>
    </row>
    <row r="15" spans="1:7" ht="48" customHeight="1">
      <c r="A15" s="21">
        <v>4</v>
      </c>
      <c r="B15" s="292" t="s">
        <v>808</v>
      </c>
      <c r="C15" s="676"/>
      <c r="D15" s="679" t="s">
        <v>824</v>
      </c>
      <c r="E15" s="677">
        <v>0.35</v>
      </c>
      <c r="F15" s="1"/>
      <c r="G15" s="11">
        <f t="shared" si="0"/>
        <v>0</v>
      </c>
    </row>
    <row r="16" spans="1:7" ht="63">
      <c r="A16" s="21"/>
      <c r="B16" s="292"/>
      <c r="C16" s="676"/>
      <c r="D16" s="499" t="s">
        <v>825</v>
      </c>
      <c r="E16" s="677">
        <v>0.35</v>
      </c>
      <c r="F16" s="1"/>
      <c r="G16" s="11">
        <f t="shared" si="0"/>
        <v>0</v>
      </c>
    </row>
    <row r="17" spans="1:7" ht="47.25">
      <c r="A17" s="21"/>
      <c r="B17" s="292"/>
      <c r="C17" s="676"/>
      <c r="D17" s="499" t="s">
        <v>826</v>
      </c>
      <c r="E17" s="677">
        <v>0.3</v>
      </c>
      <c r="F17" s="1"/>
      <c r="G17" s="11">
        <f t="shared" si="0"/>
        <v>0</v>
      </c>
    </row>
    <row r="18" spans="1:7">
      <c r="A18" s="27"/>
      <c r="B18" s="28" t="s">
        <v>848</v>
      </c>
      <c r="C18" s="680">
        <v>0.2</v>
      </c>
      <c r="D18" s="32"/>
      <c r="E18" s="681">
        <f>SUM(E15:E17)</f>
        <v>1</v>
      </c>
      <c r="F18" s="29" t="s">
        <v>49</v>
      </c>
      <c r="G18" s="29">
        <f>SUM(G15:G17)*C18</f>
        <v>0</v>
      </c>
    </row>
    <row r="19" spans="1:7" ht="48" customHeight="1">
      <c r="A19" s="21">
        <v>5</v>
      </c>
      <c r="B19" s="682" t="s">
        <v>827</v>
      </c>
      <c r="C19" s="676"/>
      <c r="D19" s="499" t="s">
        <v>828</v>
      </c>
      <c r="E19" s="677">
        <v>0.15</v>
      </c>
      <c r="F19" s="1"/>
      <c r="G19" s="11">
        <f t="shared" si="0"/>
        <v>0</v>
      </c>
    </row>
    <row r="20" spans="1:7" ht="47.25">
      <c r="A20" s="21"/>
      <c r="B20" s="292"/>
      <c r="C20" s="676"/>
      <c r="D20" s="499" t="s">
        <v>829</v>
      </c>
      <c r="E20" s="677">
        <v>0.15</v>
      </c>
      <c r="F20" s="1"/>
      <c r="G20" s="11">
        <f t="shared" si="0"/>
        <v>0</v>
      </c>
    </row>
    <row r="21" spans="1:7" ht="66.75" customHeight="1">
      <c r="A21" s="21"/>
      <c r="B21" s="292"/>
      <c r="C21" s="676"/>
      <c r="D21" s="2" t="s">
        <v>830</v>
      </c>
      <c r="E21" s="677">
        <v>0.45</v>
      </c>
      <c r="F21" s="1"/>
      <c r="G21" s="11">
        <f t="shared" si="0"/>
        <v>0</v>
      </c>
    </row>
    <row r="22" spans="1:7" ht="31.5">
      <c r="A22" s="21"/>
      <c r="B22" s="292"/>
      <c r="C22" s="676"/>
      <c r="D22" s="499" t="s">
        <v>831</v>
      </c>
      <c r="E22" s="677">
        <v>0.25</v>
      </c>
      <c r="F22" s="1"/>
      <c r="G22" s="11">
        <f t="shared" si="0"/>
        <v>0</v>
      </c>
    </row>
    <row r="23" spans="1:7">
      <c r="A23" s="27"/>
      <c r="B23" s="28" t="s">
        <v>848</v>
      </c>
      <c r="C23" s="27">
        <v>0.2</v>
      </c>
      <c r="D23" s="622"/>
      <c r="E23" s="249">
        <f>SUM(E19:E22)</f>
        <v>1</v>
      </c>
      <c r="F23" s="29" t="s">
        <v>50</v>
      </c>
      <c r="G23" s="29">
        <f>SUM(G19:G22)*C23</f>
        <v>0</v>
      </c>
    </row>
    <row r="24" spans="1:7" s="25" customFormat="1">
      <c r="A24" s="246"/>
      <c r="B24" s="36" t="s">
        <v>443</v>
      </c>
      <c r="C24" s="246">
        <f>SUM(C6+C12+C14+C18+C23)</f>
        <v>1</v>
      </c>
      <c r="D24" s="38"/>
      <c r="E24" s="246">
        <v>5</v>
      </c>
      <c r="F24" s="38"/>
      <c r="G24" s="683">
        <f>SUM(G6+G12+G14+G18+G23)</f>
        <v>0</v>
      </c>
    </row>
    <row r="25" spans="1:7" s="25" customFormat="1" ht="14.25" customHeight="1">
      <c r="A25" s="21"/>
      <c r="B25" s="26" t="s">
        <v>444</v>
      </c>
      <c r="C25" s="18"/>
      <c r="D25" s="10"/>
      <c r="E25" s="21"/>
      <c r="F25" s="678"/>
      <c r="G25" s="21" t="str">
        <f>IF(G24&lt;=0.5,"низький",IF(G24&lt;=0.75,"середній",(IF(G24&lt;=0.95,"достатній",(IF(G24&lt;=1,"високий"))))))</f>
        <v>низький</v>
      </c>
    </row>
    <row r="26" spans="1:7" s="302" customFormat="1">
      <c r="A26" s="288" t="s">
        <v>182</v>
      </c>
      <c r="B26" s="289"/>
      <c r="C26" s="342"/>
      <c r="E26" s="343"/>
      <c r="F26" s="344"/>
      <c r="G26" s="112"/>
    </row>
    <row r="27" spans="1:7" s="302" customFormat="1" ht="17.25">
      <c r="A27" s="345" t="s">
        <v>589</v>
      </c>
      <c r="B27" s="346"/>
      <c r="C27" s="347"/>
      <c r="D27" s="303"/>
      <c r="E27" s="348"/>
      <c r="F27" s="349"/>
      <c r="G27" s="112"/>
    </row>
    <row r="28" spans="1:7" s="302" customFormat="1" ht="17.25">
      <c r="A28" s="345" t="s">
        <v>590</v>
      </c>
      <c r="B28" s="346"/>
      <c r="C28" s="347"/>
      <c r="D28" s="303"/>
      <c r="E28" s="348"/>
      <c r="F28" s="349"/>
      <c r="G28" s="112"/>
    </row>
    <row r="29" spans="1:7" s="302" customFormat="1" ht="17.25">
      <c r="A29" s="345" t="s">
        <v>591</v>
      </c>
      <c r="B29" s="346"/>
      <c r="C29" s="347"/>
      <c r="D29" s="303"/>
      <c r="E29" s="348"/>
      <c r="F29" s="349"/>
      <c r="G29" s="112"/>
    </row>
    <row r="30" spans="1:7" s="302" customFormat="1" ht="17.25">
      <c r="A30" s="345" t="s">
        <v>592</v>
      </c>
      <c r="B30" s="346"/>
      <c r="C30" s="347"/>
      <c r="D30" s="303"/>
      <c r="E30" s="348"/>
      <c r="F30" s="349"/>
      <c r="G30" s="112"/>
    </row>
    <row r="31" spans="1:7" s="302" customFormat="1" ht="17.25">
      <c r="A31" s="345" t="s">
        <v>593</v>
      </c>
      <c r="B31" s="346"/>
      <c r="C31" s="347"/>
      <c r="D31" s="303"/>
      <c r="E31" s="348"/>
      <c r="F31" s="349"/>
      <c r="G31" s="112"/>
    </row>
    <row r="32" spans="1:7" s="302" customFormat="1" ht="17.25">
      <c r="A32" s="345" t="s">
        <v>594</v>
      </c>
      <c r="B32" s="346"/>
      <c r="C32" s="347"/>
      <c r="D32" s="303"/>
      <c r="E32" s="348"/>
      <c r="F32" s="349"/>
      <c r="G32" s="112"/>
    </row>
    <row r="33" spans="1:7" s="302" customFormat="1" ht="17.25">
      <c r="A33" s="345" t="s">
        <v>595</v>
      </c>
      <c r="B33" s="346"/>
      <c r="C33" s="347"/>
      <c r="D33" s="303"/>
      <c r="E33" s="348"/>
      <c r="F33" s="349"/>
      <c r="G33" s="112"/>
    </row>
    <row r="34" spans="1:7" s="302" customFormat="1">
      <c r="A34" s="350" t="s">
        <v>596</v>
      </c>
      <c r="B34" s="346"/>
      <c r="C34" s="347"/>
      <c r="D34" s="303"/>
      <c r="E34" s="348"/>
      <c r="F34" s="349"/>
      <c r="G34" s="112"/>
    </row>
    <row r="35" spans="1:7" s="302" customFormat="1">
      <c r="A35" s="345" t="s">
        <v>597</v>
      </c>
      <c r="B35" s="346"/>
      <c r="C35" s="347"/>
      <c r="D35" s="303"/>
      <c r="E35" s="348"/>
      <c r="F35" s="349"/>
      <c r="G35" s="112"/>
    </row>
    <row r="36" spans="1:7" s="302" customFormat="1">
      <c r="A36" s="288" t="s">
        <v>792</v>
      </c>
      <c r="B36" s="346"/>
      <c r="C36" s="347"/>
      <c r="D36" s="303"/>
      <c r="E36" s="348"/>
      <c r="F36" s="349"/>
      <c r="G36" s="112"/>
    </row>
    <row r="37" spans="1:7" s="302" customFormat="1">
      <c r="A37" s="288" t="s">
        <v>793</v>
      </c>
      <c r="B37" s="346"/>
      <c r="C37" s="347"/>
      <c r="D37" s="303"/>
      <c r="E37" s="348"/>
      <c r="F37" s="349"/>
      <c r="G37" s="112"/>
    </row>
    <row r="38" spans="1:7" s="302" customFormat="1">
      <c r="A38" s="288" t="s">
        <v>794</v>
      </c>
      <c r="B38" s="346"/>
      <c r="C38" s="347"/>
      <c r="D38" s="303"/>
      <c r="E38" s="348"/>
      <c r="F38" s="349"/>
      <c r="G38" s="112"/>
    </row>
    <row r="39" spans="1:7" s="302" customFormat="1">
      <c r="A39" s="342"/>
      <c r="B39" s="342" t="s">
        <v>20</v>
      </c>
      <c r="C39" s="342"/>
      <c r="D39" s="342"/>
      <c r="E39" s="342"/>
      <c r="F39" s="342"/>
      <c r="G39" s="342"/>
    </row>
    <row r="40" spans="1:7" s="302" customFormat="1">
      <c r="A40" s="351"/>
      <c r="B40" s="351"/>
      <c r="C40" s="351"/>
      <c r="D40" s="351"/>
      <c r="E40" s="351"/>
      <c r="F40" s="351"/>
      <c r="G40" s="351"/>
    </row>
    <row r="41" spans="1:7" s="302" customFormat="1">
      <c r="A41" s="351"/>
      <c r="B41" s="351"/>
      <c r="C41" s="351"/>
      <c r="D41" s="351"/>
      <c r="E41" s="351"/>
      <c r="F41" s="351"/>
      <c r="G41" s="351"/>
    </row>
    <row r="42" spans="1:7" s="302" customFormat="1">
      <c r="A42" s="351"/>
      <c r="B42" s="351"/>
      <c r="C42" s="351"/>
      <c r="D42" s="351"/>
      <c r="E42" s="351"/>
      <c r="F42" s="351"/>
      <c r="G42" s="351"/>
    </row>
    <row r="43" spans="1:7" s="302" customFormat="1">
      <c r="A43" s="351"/>
      <c r="B43" s="351"/>
      <c r="C43" s="351"/>
      <c r="D43" s="351"/>
      <c r="E43" s="351"/>
      <c r="F43" s="351"/>
      <c r="G43" s="351"/>
    </row>
    <row r="44" spans="1:7" s="302" customFormat="1">
      <c r="A44" s="351"/>
      <c r="B44" s="351"/>
      <c r="C44" s="351"/>
      <c r="D44" s="351"/>
      <c r="E44" s="351"/>
      <c r="F44" s="351"/>
      <c r="G44" s="351"/>
    </row>
    <row r="45" spans="1:7" s="302" customFormat="1">
      <c r="A45" s="351"/>
      <c r="B45" s="351"/>
      <c r="C45" s="351"/>
      <c r="D45" s="351"/>
      <c r="E45" s="351"/>
      <c r="F45" s="351"/>
      <c r="G45" s="351"/>
    </row>
    <row r="46" spans="1:7" s="302" customFormat="1">
      <c r="A46" s="351"/>
      <c r="B46" s="351"/>
      <c r="C46" s="351"/>
      <c r="D46" s="351"/>
      <c r="E46" s="351"/>
      <c r="F46" s="351"/>
      <c r="G46" s="351"/>
    </row>
    <row r="47" spans="1:7" s="302" customFormat="1">
      <c r="A47" s="351"/>
      <c r="B47" s="351"/>
      <c r="C47" s="351"/>
      <c r="D47" s="351"/>
      <c r="E47" s="351"/>
      <c r="F47" s="351"/>
      <c r="G47" s="351"/>
    </row>
    <row r="48" spans="1:7" s="302" customFormat="1">
      <c r="A48" s="351"/>
      <c r="B48" s="351"/>
      <c r="C48" s="351"/>
      <c r="D48" s="351"/>
      <c r="E48" s="351"/>
      <c r="F48" s="351"/>
      <c r="G48" s="351"/>
    </row>
    <row r="49" spans="1:7" s="302" customFormat="1">
      <c r="A49" s="351"/>
      <c r="B49" s="351"/>
      <c r="C49" s="351"/>
      <c r="D49" s="351"/>
      <c r="E49" s="351"/>
      <c r="F49" s="351"/>
      <c r="G49" s="351"/>
    </row>
    <row r="50" spans="1:7" s="302" customFormat="1">
      <c r="A50" s="351"/>
      <c r="B50" s="351"/>
      <c r="C50" s="351"/>
      <c r="D50" s="351"/>
      <c r="E50" s="351"/>
      <c r="F50" s="351"/>
      <c r="G50" s="351"/>
    </row>
    <row r="51" spans="1:7" s="302" customFormat="1">
      <c r="A51" s="351"/>
      <c r="B51" s="351"/>
      <c r="C51" s="351"/>
      <c r="D51" s="351"/>
      <c r="E51" s="351"/>
      <c r="F51" s="351"/>
      <c r="G51" s="351"/>
    </row>
    <row r="52" spans="1:7" s="302" customFormat="1">
      <c r="A52" s="351"/>
      <c r="B52" s="351"/>
      <c r="C52" s="351"/>
      <c r="D52" s="351"/>
      <c r="E52" s="351"/>
      <c r="F52" s="351"/>
      <c r="G52" s="351"/>
    </row>
    <row r="53" spans="1:7" s="302" customFormat="1">
      <c r="A53" s="351"/>
      <c r="B53" s="351"/>
      <c r="C53" s="351"/>
      <c r="D53" s="351"/>
      <c r="E53" s="351"/>
      <c r="F53" s="351"/>
      <c r="G53" s="351"/>
    </row>
    <row r="54" spans="1:7" s="302" customFormat="1">
      <c r="A54" s="342"/>
      <c r="B54" s="352" t="s">
        <v>2418</v>
      </c>
      <c r="C54" s="352"/>
      <c r="D54" s="352"/>
      <c r="E54" s="352"/>
      <c r="F54" s="352"/>
      <c r="G54" s="352"/>
    </row>
    <row r="55" spans="1:7" s="302" customFormat="1">
      <c r="A55" s="342"/>
      <c r="B55" s="353"/>
      <c r="C55" s="353"/>
      <c r="D55" s="353"/>
      <c r="E55" s="353"/>
      <c r="F55" s="353"/>
      <c r="G55" s="353"/>
    </row>
    <row r="56" spans="1:7" s="302" customFormat="1">
      <c r="A56" s="342"/>
      <c r="B56" s="352" t="s">
        <v>22</v>
      </c>
      <c r="C56" s="352"/>
      <c r="D56" s="352"/>
      <c r="E56" s="352"/>
      <c r="F56" s="352"/>
      <c r="G56" s="352"/>
    </row>
    <row r="57" spans="1:7" s="302" customFormat="1">
      <c r="A57" s="342"/>
      <c r="B57" s="353"/>
      <c r="C57" s="353"/>
      <c r="D57" s="353"/>
      <c r="E57" s="353"/>
      <c r="F57" s="353"/>
      <c r="G57" s="353"/>
    </row>
    <row r="58" spans="1:7" s="302" customFormat="1">
      <c r="A58" s="342"/>
      <c r="B58" s="352" t="s">
        <v>23</v>
      </c>
      <c r="C58" s="352"/>
      <c r="D58" s="352"/>
      <c r="E58" s="352"/>
      <c r="F58" s="352"/>
      <c r="G58" s="352"/>
    </row>
    <row r="59" spans="1:7" s="302" customFormat="1">
      <c r="A59" s="342"/>
      <c r="B59" s="352" t="s">
        <v>24</v>
      </c>
      <c r="C59" s="352"/>
      <c r="D59" s="352"/>
      <c r="E59" s="352"/>
      <c r="F59" s="352"/>
      <c r="G59" s="352"/>
    </row>
    <row r="60" spans="1:7" s="303" customFormat="1">
      <c r="A60" s="346"/>
      <c r="B60" s="346"/>
      <c r="E60" s="333"/>
    </row>
  </sheetData>
  <mergeCells count="2">
    <mergeCell ref="A1:G1"/>
    <mergeCell ref="A2:G2"/>
  </mergeCells>
  <phoneticPr fontId="4" type="noConversion"/>
  <pageMargins left="0.7" right="0.7" top="0.75" bottom="0.75" header="0.3" footer="0.3"/>
  <pageSetup paperSize="9" scale="65" orientation="portrait" r:id="rId1"/>
</worksheet>
</file>

<file path=xl/worksheets/sheet54.xml><?xml version="1.0" encoding="utf-8"?>
<worksheet xmlns="http://schemas.openxmlformats.org/spreadsheetml/2006/main" xmlns:r="http://schemas.openxmlformats.org/officeDocument/2006/relationships">
  <dimension ref="A1:P71"/>
  <sheetViews>
    <sheetView workbookViewId="0">
      <selection activeCell="A4" sqref="A4:I4"/>
    </sheetView>
  </sheetViews>
  <sheetFormatPr defaultRowHeight="15.75"/>
  <cols>
    <col min="1" max="1" width="7.140625" style="385" customWidth="1"/>
    <col min="2" max="2" width="15.140625" style="59" customWidth="1"/>
    <col min="3" max="3" width="12.7109375" style="59" customWidth="1"/>
    <col min="4" max="4" width="7.42578125" style="929" customWidth="1"/>
    <col min="5" max="5" width="7.28515625" style="929" customWidth="1"/>
    <col min="6" max="6" width="34.7109375" style="59" customWidth="1"/>
    <col min="7" max="7" width="8.42578125" style="59" customWidth="1"/>
    <col min="8" max="8" width="6.140625" style="59" customWidth="1"/>
    <col min="9" max="9" width="6.7109375" style="929" customWidth="1"/>
    <col min="10" max="10" width="5.140625" style="59" customWidth="1"/>
    <col min="11" max="11" width="13.140625" style="332" customWidth="1"/>
    <col min="12" max="13" width="9.140625" style="59" hidden="1" customWidth="1"/>
    <col min="14" max="15" width="9.140625" style="59"/>
    <col min="16" max="16" width="9.85546875" style="59" bestFit="1" customWidth="1"/>
    <col min="17" max="16384" width="9.140625" style="59"/>
  </cols>
  <sheetData>
    <row r="1" spans="1:16">
      <c r="A1" s="1453" t="s">
        <v>446</v>
      </c>
      <c r="B1" s="1453"/>
      <c r="C1" s="1453"/>
      <c r="D1" s="1453"/>
      <c r="E1" s="1453"/>
      <c r="F1" s="1453"/>
      <c r="G1" s="1453"/>
      <c r="H1" s="1453"/>
      <c r="I1" s="1453"/>
    </row>
    <row r="2" spans="1:16">
      <c r="A2" s="956"/>
      <c r="B2" s="1454" t="s">
        <v>2419</v>
      </c>
      <c r="C2" s="1454"/>
      <c r="D2" s="1454"/>
      <c r="E2" s="1454"/>
      <c r="F2" s="1454"/>
      <c r="G2" s="1454"/>
      <c r="H2" s="1454"/>
      <c r="I2" s="1454"/>
    </row>
    <row r="3" spans="1:16">
      <c r="A3" s="957"/>
      <c r="B3" s="1454"/>
      <c r="C3" s="1454"/>
      <c r="D3" s="1454"/>
      <c r="E3" s="1454"/>
      <c r="F3" s="1454"/>
      <c r="G3" s="1454"/>
      <c r="H3" s="1454"/>
      <c r="I3" s="1454"/>
    </row>
    <row r="4" spans="1:16">
      <c r="A4" s="1453" t="s">
        <v>239</v>
      </c>
      <c r="B4" s="1453"/>
      <c r="C4" s="1453"/>
      <c r="D4" s="1453"/>
      <c r="E4" s="1453"/>
      <c r="F4" s="1453"/>
      <c r="G4" s="1453"/>
      <c r="H4" s="1453"/>
      <c r="I4" s="1453"/>
    </row>
    <row r="5" spans="1:16">
      <c r="A5" s="1371" t="s">
        <v>240</v>
      </c>
      <c r="B5" s="1371"/>
      <c r="C5" s="1371"/>
      <c r="D5" s="1371"/>
      <c r="E5" s="1371"/>
      <c r="F5" s="1371"/>
      <c r="G5" s="1371"/>
      <c r="H5" s="1371"/>
      <c r="I5" s="1371"/>
    </row>
    <row r="7" spans="1:16" ht="75" customHeight="1">
      <c r="A7" s="702" t="s">
        <v>434</v>
      </c>
      <c r="B7" s="1452" t="s">
        <v>1048</v>
      </c>
      <c r="C7" s="1452"/>
      <c r="D7" s="1427" t="s">
        <v>451</v>
      </c>
      <c r="E7" s="1428"/>
      <c r="F7" s="702" t="s">
        <v>241</v>
      </c>
      <c r="G7" s="1200" t="s">
        <v>633</v>
      </c>
      <c r="H7" s="1200"/>
      <c r="I7" s="1200" t="s">
        <v>399</v>
      </c>
      <c r="J7" s="1200"/>
      <c r="K7" s="958" t="s">
        <v>624</v>
      </c>
    </row>
    <row r="8" spans="1:16" ht="54.75" customHeight="1">
      <c r="A8" s="1355" t="s">
        <v>454</v>
      </c>
      <c r="B8" s="1427" t="s">
        <v>64</v>
      </c>
      <c r="C8" s="1428"/>
      <c r="D8" s="1358" t="s">
        <v>997</v>
      </c>
      <c r="E8" s="1353">
        <v>0.1</v>
      </c>
      <c r="F8" s="959" t="s">
        <v>242</v>
      </c>
      <c r="G8" s="960" t="s">
        <v>998</v>
      </c>
      <c r="H8" s="961">
        <v>0.16</v>
      </c>
      <c r="I8" s="960" t="s">
        <v>999</v>
      </c>
      <c r="J8" s="702"/>
      <c r="K8" s="11">
        <f>J8*H8</f>
        <v>0</v>
      </c>
    </row>
    <row r="9" spans="1:16" ht="54.75" customHeight="1">
      <c r="A9" s="1356"/>
      <c r="B9" s="1429"/>
      <c r="C9" s="1430"/>
      <c r="D9" s="1397"/>
      <c r="E9" s="1398"/>
      <c r="F9" s="930" t="s">
        <v>243</v>
      </c>
      <c r="G9" s="960" t="s">
        <v>1000</v>
      </c>
      <c r="H9" s="961">
        <v>0.34</v>
      </c>
      <c r="I9" s="960" t="s">
        <v>1001</v>
      </c>
      <c r="J9" s="961"/>
      <c r="K9" s="11">
        <f t="shared" ref="K9:K31" si="0">J9*H9</f>
        <v>0</v>
      </c>
      <c r="P9" s="964"/>
    </row>
    <row r="10" spans="1:16" ht="48" customHeight="1">
      <c r="A10" s="1356"/>
      <c r="B10" s="1385" t="s">
        <v>1049</v>
      </c>
      <c r="C10" s="1386"/>
      <c r="D10" s="1397"/>
      <c r="E10" s="1398"/>
      <c r="F10" s="965" t="s">
        <v>244</v>
      </c>
      <c r="G10" s="960" t="s">
        <v>1002</v>
      </c>
      <c r="H10" s="961">
        <v>0.2</v>
      </c>
      <c r="I10" s="960" t="s">
        <v>1003</v>
      </c>
      <c r="J10" s="966"/>
      <c r="K10" s="11">
        <f t="shared" si="0"/>
        <v>0</v>
      </c>
      <c r="P10" s="964"/>
    </row>
    <row r="11" spans="1:16" ht="40.5" customHeight="1">
      <c r="A11" s="1356"/>
      <c r="B11" s="962"/>
      <c r="C11" s="967"/>
      <c r="D11" s="1397"/>
      <c r="E11" s="1398"/>
      <c r="F11" s="959" t="s">
        <v>245</v>
      </c>
      <c r="G11" s="960" t="s">
        <v>1004</v>
      </c>
      <c r="H11" s="961">
        <v>0.1</v>
      </c>
      <c r="I11" s="960" t="s">
        <v>1005</v>
      </c>
      <c r="J11" s="961"/>
      <c r="K11" s="11">
        <f t="shared" si="0"/>
        <v>0</v>
      </c>
      <c r="P11" s="964"/>
    </row>
    <row r="12" spans="1:16" ht="29.25" customHeight="1">
      <c r="A12" s="1356"/>
      <c r="B12" s="962"/>
      <c r="C12" s="967"/>
      <c r="D12" s="1397"/>
      <c r="E12" s="1398"/>
      <c r="F12" s="959" t="s">
        <v>246</v>
      </c>
      <c r="G12" s="960" t="s">
        <v>1006</v>
      </c>
      <c r="H12" s="961">
        <v>0.1</v>
      </c>
      <c r="I12" s="960" t="s">
        <v>1007</v>
      </c>
      <c r="J12" s="961"/>
      <c r="K12" s="11">
        <f t="shared" si="0"/>
        <v>0</v>
      </c>
      <c r="P12" s="964"/>
    </row>
    <row r="13" spans="1:16" ht="36.75" customHeight="1">
      <c r="A13" s="1356"/>
      <c r="B13" s="968" t="s">
        <v>46</v>
      </c>
      <c r="C13" s="969">
        <f>E10*(H8*J8+H9*J9+H10*J10+H11*J11+H12*J12+H13*J13)</f>
        <v>0</v>
      </c>
      <c r="D13" s="1397"/>
      <c r="E13" s="1398"/>
      <c r="F13" s="1448" t="s">
        <v>247</v>
      </c>
      <c r="G13" s="960" t="s">
        <v>1008</v>
      </c>
      <c r="H13" s="961">
        <v>0.1</v>
      </c>
      <c r="I13" s="960" t="s">
        <v>1009</v>
      </c>
      <c r="J13" s="961"/>
      <c r="K13" s="11">
        <f t="shared" si="0"/>
        <v>0</v>
      </c>
    </row>
    <row r="14" spans="1:16" ht="20.25" hidden="1" customHeight="1">
      <c r="A14" s="1357"/>
      <c r="B14" s="970" t="s">
        <v>46</v>
      </c>
      <c r="C14" s="969">
        <f>E8*(H8*J8+H9*J9+H13*J13)</f>
        <v>0</v>
      </c>
      <c r="D14" s="1359"/>
      <c r="E14" s="1354"/>
      <c r="F14" s="1449"/>
      <c r="G14" s="960" t="s">
        <v>1008</v>
      </c>
      <c r="H14" s="961">
        <v>0.2</v>
      </c>
      <c r="I14" s="960" t="s">
        <v>1009</v>
      </c>
      <c r="J14" s="961"/>
      <c r="K14" s="11">
        <f t="shared" si="0"/>
        <v>0</v>
      </c>
    </row>
    <row r="15" spans="1:16" ht="75" customHeight="1">
      <c r="A15" s="1382" t="s">
        <v>459</v>
      </c>
      <c r="B15" s="1427" t="s">
        <v>248</v>
      </c>
      <c r="C15" s="1450"/>
      <c r="D15" s="1358" t="s">
        <v>1010</v>
      </c>
      <c r="E15" s="1395">
        <v>0.1</v>
      </c>
      <c r="F15" s="971" t="s">
        <v>364</v>
      </c>
      <c r="G15" s="960" t="s">
        <v>1011</v>
      </c>
      <c r="H15" s="961">
        <v>0.5</v>
      </c>
      <c r="I15" s="961" t="s">
        <v>1012</v>
      </c>
      <c r="J15" s="961"/>
      <c r="K15" s="11">
        <f t="shared" si="0"/>
        <v>0</v>
      </c>
    </row>
    <row r="16" spans="1:16" ht="16.5" customHeight="1">
      <c r="A16" s="1383"/>
      <c r="B16" s="1429"/>
      <c r="C16" s="1451"/>
      <c r="D16" s="1397"/>
      <c r="E16" s="1431"/>
      <c r="F16" s="1440" t="s">
        <v>249</v>
      </c>
      <c r="G16" s="1437" t="s">
        <v>1013</v>
      </c>
      <c r="H16" s="1437">
        <v>0.5</v>
      </c>
      <c r="I16" s="1437" t="s">
        <v>1014</v>
      </c>
      <c r="J16" s="1437"/>
      <c r="K16" s="1445">
        <f>J16*H16</f>
        <v>0</v>
      </c>
    </row>
    <row r="17" spans="1:11" ht="31.5" customHeight="1">
      <c r="A17" s="1383"/>
      <c r="B17" s="1385" t="s">
        <v>2420</v>
      </c>
      <c r="C17" s="1410"/>
      <c r="D17" s="1397"/>
      <c r="E17" s="1431"/>
      <c r="F17" s="1441"/>
      <c r="G17" s="1438"/>
      <c r="H17" s="1438"/>
      <c r="I17" s="1438"/>
      <c r="J17" s="1438"/>
      <c r="K17" s="1446"/>
    </row>
    <row r="18" spans="1:11" ht="20.25" customHeight="1">
      <c r="A18" s="1383"/>
      <c r="B18" s="968" t="s">
        <v>47</v>
      </c>
      <c r="C18" s="969">
        <f>E15*(H15*J15+H16*J16)</f>
        <v>0</v>
      </c>
      <c r="D18" s="1397"/>
      <c r="E18" s="1431"/>
      <c r="F18" s="1442"/>
      <c r="G18" s="1439"/>
      <c r="H18" s="1439"/>
      <c r="I18" s="1439"/>
      <c r="J18" s="1439"/>
      <c r="K18" s="1447"/>
    </row>
    <row r="19" spans="1:11" ht="56.25" customHeight="1">
      <c r="A19" s="1382" t="s">
        <v>470</v>
      </c>
      <c r="B19" s="1427" t="s">
        <v>251</v>
      </c>
      <c r="C19" s="1428"/>
      <c r="D19" s="1358" t="s">
        <v>1017</v>
      </c>
      <c r="E19" s="1395">
        <v>0.5</v>
      </c>
      <c r="F19" s="971" t="s">
        <v>252</v>
      </c>
      <c r="G19" s="960" t="s">
        <v>1015</v>
      </c>
      <c r="H19" s="961">
        <v>0.06</v>
      </c>
      <c r="I19" s="960" t="s">
        <v>1016</v>
      </c>
      <c r="J19" s="961"/>
      <c r="K19" s="11">
        <f t="shared" si="0"/>
        <v>0</v>
      </c>
    </row>
    <row r="20" spans="1:11" ht="18.75">
      <c r="A20" s="1383"/>
      <c r="B20" s="1429"/>
      <c r="C20" s="1430"/>
      <c r="D20" s="1397"/>
      <c r="E20" s="1431"/>
      <c r="F20" s="971" t="s">
        <v>253</v>
      </c>
      <c r="G20" s="960" t="s">
        <v>1018</v>
      </c>
      <c r="H20" s="961">
        <v>0.06</v>
      </c>
      <c r="I20" s="960" t="s">
        <v>1019</v>
      </c>
      <c r="J20" s="961"/>
      <c r="K20" s="11">
        <f t="shared" si="0"/>
        <v>0</v>
      </c>
    </row>
    <row r="21" spans="1:11" ht="31.5">
      <c r="A21" s="1383"/>
      <c r="B21" s="1429"/>
      <c r="C21" s="1430"/>
      <c r="D21" s="1397"/>
      <c r="E21" s="1431"/>
      <c r="F21" s="971" t="s">
        <v>254</v>
      </c>
      <c r="G21" s="960" t="s">
        <v>1020</v>
      </c>
      <c r="H21" s="961">
        <v>0.06</v>
      </c>
      <c r="I21" s="960" t="s">
        <v>1021</v>
      </c>
      <c r="J21" s="961"/>
      <c r="K21" s="11">
        <f t="shared" si="0"/>
        <v>0</v>
      </c>
    </row>
    <row r="22" spans="1:11" ht="74.25" customHeight="1">
      <c r="A22" s="1383"/>
      <c r="B22" s="962"/>
      <c r="C22" s="963"/>
      <c r="D22" s="1397"/>
      <c r="E22" s="1431"/>
      <c r="F22" s="971" t="s">
        <v>255</v>
      </c>
      <c r="G22" s="960" t="s">
        <v>1022</v>
      </c>
      <c r="H22" s="961">
        <v>0.11</v>
      </c>
      <c r="I22" s="960" t="s">
        <v>1023</v>
      </c>
      <c r="J22" s="961"/>
      <c r="K22" s="11">
        <f t="shared" si="0"/>
        <v>0</v>
      </c>
    </row>
    <row r="23" spans="1:11" ht="63">
      <c r="A23" s="1383"/>
      <c r="B23" s="972"/>
      <c r="C23" s="973"/>
      <c r="D23" s="1397"/>
      <c r="E23" s="1431"/>
      <c r="F23" s="971" t="s">
        <v>256</v>
      </c>
      <c r="G23" s="960" t="s">
        <v>1024</v>
      </c>
      <c r="H23" s="961">
        <v>0.15</v>
      </c>
      <c r="I23" s="960" t="s">
        <v>1025</v>
      </c>
      <c r="J23" s="961"/>
      <c r="K23" s="11">
        <f t="shared" si="0"/>
        <v>0</v>
      </c>
    </row>
    <row r="24" spans="1:11" ht="65.25" customHeight="1">
      <c r="A24" s="1383"/>
      <c r="B24" s="1443" t="s">
        <v>2421</v>
      </c>
      <c r="C24" s="1444"/>
      <c r="D24" s="1397"/>
      <c r="E24" s="1431"/>
      <c r="F24" s="971" t="s">
        <v>257</v>
      </c>
      <c r="G24" s="960" t="s">
        <v>1026</v>
      </c>
      <c r="H24" s="961">
        <v>0.19</v>
      </c>
      <c r="I24" s="960" t="s">
        <v>1027</v>
      </c>
      <c r="J24" s="961"/>
      <c r="K24" s="11">
        <f t="shared" si="0"/>
        <v>0</v>
      </c>
    </row>
    <row r="25" spans="1:11" ht="31.5">
      <c r="A25" s="1383"/>
      <c r="B25" s="972"/>
      <c r="C25" s="973"/>
      <c r="D25" s="1397"/>
      <c r="E25" s="1431"/>
      <c r="F25" s="163" t="s">
        <v>258</v>
      </c>
      <c r="G25" s="960" t="s">
        <v>1028</v>
      </c>
      <c r="H25" s="961">
        <v>0.1</v>
      </c>
      <c r="I25" s="960" t="s">
        <v>1029</v>
      </c>
      <c r="J25" s="961"/>
      <c r="K25" s="11">
        <f t="shared" si="0"/>
        <v>0</v>
      </c>
    </row>
    <row r="26" spans="1:11" ht="31.5">
      <c r="A26" s="1383"/>
      <c r="B26" s="972"/>
      <c r="C26" s="973"/>
      <c r="D26" s="1397"/>
      <c r="E26" s="1431"/>
      <c r="F26" s="971" t="s">
        <v>259</v>
      </c>
      <c r="G26" s="960" t="s">
        <v>1030</v>
      </c>
      <c r="H26" s="961">
        <v>0.16</v>
      </c>
      <c r="I26" s="960" t="s">
        <v>1031</v>
      </c>
      <c r="J26" s="961"/>
      <c r="K26" s="11">
        <f t="shared" si="0"/>
        <v>0</v>
      </c>
    </row>
    <row r="27" spans="1:11" ht="63">
      <c r="A27" s="1384"/>
      <c r="B27" s="968" t="s">
        <v>48</v>
      </c>
      <c r="C27" s="974">
        <f>E19*(H19*J19+H20*J20+H21*J21+H22*J22+H23*J23+H24*J24+H25*J25+H26*J26+H27*J27)</f>
        <v>0</v>
      </c>
      <c r="D27" s="1359"/>
      <c r="E27" s="1396"/>
      <c r="F27" s="971" t="s">
        <v>260</v>
      </c>
      <c r="G27" s="960" t="s">
        <v>1032</v>
      </c>
      <c r="H27" s="961">
        <v>0.11</v>
      </c>
      <c r="I27" s="960" t="s">
        <v>930</v>
      </c>
      <c r="J27" s="961"/>
      <c r="K27" s="11">
        <f t="shared" si="0"/>
        <v>0</v>
      </c>
    </row>
    <row r="28" spans="1:11" ht="56.25" customHeight="1">
      <c r="A28" s="1382" t="s">
        <v>261</v>
      </c>
      <c r="B28" s="1427" t="s">
        <v>262</v>
      </c>
      <c r="C28" s="1428"/>
      <c r="D28" s="1358" t="s">
        <v>1035</v>
      </c>
      <c r="E28" s="1395">
        <v>0.3</v>
      </c>
      <c r="F28" s="971" t="s">
        <v>365</v>
      </c>
      <c r="G28" s="960" t="s">
        <v>2422</v>
      </c>
      <c r="H28" s="961">
        <v>0.25</v>
      </c>
      <c r="I28" s="960" t="s">
        <v>2423</v>
      </c>
      <c r="J28" s="961"/>
      <c r="K28" s="11">
        <f t="shared" si="0"/>
        <v>0</v>
      </c>
    </row>
    <row r="29" spans="1:11" ht="47.25">
      <c r="A29" s="1383"/>
      <c r="B29" s="1429"/>
      <c r="C29" s="1430"/>
      <c r="D29" s="1397"/>
      <c r="E29" s="1431"/>
      <c r="F29" s="971" t="s">
        <v>263</v>
      </c>
      <c r="G29" s="960" t="s">
        <v>932</v>
      </c>
      <c r="H29" s="961">
        <v>0.25</v>
      </c>
      <c r="I29" s="960" t="s">
        <v>933</v>
      </c>
      <c r="J29" s="961"/>
      <c r="K29" s="11">
        <f t="shared" si="0"/>
        <v>0</v>
      </c>
    </row>
    <row r="30" spans="1:11" ht="81" customHeight="1">
      <c r="A30" s="1383"/>
      <c r="B30" s="1432" t="s">
        <v>2424</v>
      </c>
      <c r="C30" s="1433"/>
      <c r="D30" s="1397"/>
      <c r="E30" s="1431"/>
      <c r="F30" s="971" t="s">
        <v>264</v>
      </c>
      <c r="G30" s="960" t="s">
        <v>2425</v>
      </c>
      <c r="H30" s="961">
        <v>0.25</v>
      </c>
      <c r="I30" s="960" t="s">
        <v>1037</v>
      </c>
      <c r="J30" s="961"/>
      <c r="K30" s="11">
        <f t="shared" si="0"/>
        <v>0</v>
      </c>
    </row>
    <row r="31" spans="1:11" ht="63">
      <c r="A31" s="1384"/>
      <c r="B31" s="968" t="s">
        <v>49</v>
      </c>
      <c r="C31" s="974">
        <f>E28*(H28*J28+H29*J29+H30*J30+H31*J31)</f>
        <v>0</v>
      </c>
      <c r="D31" s="1359"/>
      <c r="E31" s="1396"/>
      <c r="F31" s="975" t="s">
        <v>265</v>
      </c>
      <c r="G31" s="976" t="s">
        <v>1038</v>
      </c>
      <c r="H31" s="961">
        <v>0.25</v>
      </c>
      <c r="I31" s="960" t="s">
        <v>1039</v>
      </c>
      <c r="J31" s="961"/>
      <c r="K31" s="11">
        <f t="shared" si="0"/>
        <v>0</v>
      </c>
    </row>
    <row r="32" spans="1:11">
      <c r="A32" s="977"/>
      <c r="B32" s="978" t="s">
        <v>443</v>
      </c>
      <c r="C32" s="979"/>
      <c r="D32" s="980"/>
      <c r="E32" s="980">
        <f>SUM(E8:E31)</f>
        <v>1</v>
      </c>
      <c r="F32" s="981"/>
      <c r="G32" s="981"/>
      <c r="H32" s="982"/>
      <c r="I32" s="980"/>
      <c r="J32" s="983" t="s">
        <v>1047</v>
      </c>
      <c r="K32" s="984">
        <f>C13+C18+C27+C31</f>
        <v>0</v>
      </c>
    </row>
    <row r="33" spans="1:11">
      <c r="A33" s="985"/>
      <c r="B33" s="1434" t="s">
        <v>444</v>
      </c>
      <c r="C33" s="1435"/>
      <c r="D33" s="1435"/>
      <c r="E33" s="1435"/>
      <c r="F33" s="1435"/>
      <c r="G33" s="1436"/>
      <c r="H33" s="730"/>
      <c r="I33" s="730"/>
      <c r="J33" s="679"/>
      <c r="K33" s="291" t="str">
        <f>IF(K32&lt;=0.5,"низький",IF(K32&lt;=0.75,"середній",(IF(K32&lt;=0.95,"достатній",(IF(K32&lt;=1,"високий"))))))</f>
        <v>низький</v>
      </c>
    </row>
    <row r="34" spans="1:11" s="25" customFormat="1">
      <c r="A34" s="288" t="s">
        <v>182</v>
      </c>
      <c r="B34" s="289"/>
      <c r="C34" s="59"/>
      <c r="E34" s="642"/>
      <c r="F34" s="643"/>
      <c r="G34" s="112"/>
    </row>
    <row r="35" spans="1:11" s="25" customFormat="1" ht="17.25">
      <c r="A35" s="288" t="s">
        <v>589</v>
      </c>
      <c r="B35" s="289"/>
      <c r="C35" s="59"/>
      <c r="E35" s="642"/>
      <c r="F35" s="643"/>
      <c r="G35" s="112"/>
    </row>
    <row r="36" spans="1:11" s="25" customFormat="1" ht="17.25">
      <c r="A36" s="288" t="s">
        <v>590</v>
      </c>
      <c r="B36" s="289"/>
      <c r="C36" s="59"/>
      <c r="E36" s="642"/>
      <c r="F36" s="643"/>
      <c r="G36" s="112"/>
    </row>
    <row r="37" spans="1:11" s="25" customFormat="1" ht="17.25">
      <c r="A37" s="288" t="s">
        <v>591</v>
      </c>
      <c r="B37" s="289"/>
      <c r="C37" s="59"/>
      <c r="E37" s="642"/>
      <c r="F37" s="643"/>
      <c r="G37" s="112"/>
    </row>
    <row r="38" spans="1:11" s="25" customFormat="1" ht="17.25">
      <c r="A38" s="288" t="s">
        <v>592</v>
      </c>
      <c r="B38" s="289"/>
      <c r="C38" s="59"/>
      <c r="E38" s="642"/>
      <c r="F38" s="643"/>
      <c r="G38" s="112"/>
    </row>
    <row r="39" spans="1:11" s="25" customFormat="1" ht="17.25">
      <c r="A39" s="288" t="s">
        <v>593</v>
      </c>
      <c r="B39" s="289"/>
      <c r="C39" s="59"/>
      <c r="E39" s="642"/>
      <c r="F39" s="643"/>
      <c r="G39" s="112"/>
    </row>
    <row r="40" spans="1:11" s="25" customFormat="1" ht="17.25">
      <c r="A40" s="288" t="s">
        <v>594</v>
      </c>
      <c r="B40" s="289"/>
      <c r="C40" s="59"/>
      <c r="E40" s="642"/>
      <c r="F40" s="643"/>
      <c r="G40" s="112"/>
    </row>
    <row r="41" spans="1:11" s="25" customFormat="1" ht="17.25">
      <c r="A41" s="288" t="s">
        <v>595</v>
      </c>
      <c r="B41" s="289"/>
      <c r="C41" s="59"/>
      <c r="E41" s="642"/>
      <c r="F41" s="643"/>
      <c r="G41" s="112"/>
    </row>
    <row r="42" spans="1:11" s="25" customFormat="1">
      <c r="A42" s="644" t="s">
        <v>596</v>
      </c>
      <c r="B42" s="289"/>
      <c r="C42" s="59"/>
      <c r="E42" s="642"/>
      <c r="F42" s="643"/>
      <c r="G42" s="112"/>
    </row>
    <row r="43" spans="1:11" s="25" customFormat="1">
      <c r="A43" s="288" t="s">
        <v>597</v>
      </c>
      <c r="B43" s="289"/>
      <c r="C43" s="59"/>
      <c r="E43" s="642"/>
      <c r="F43" s="643"/>
      <c r="G43" s="112"/>
    </row>
    <row r="44" spans="1:11" s="25" customFormat="1">
      <c r="A44" s="288" t="s">
        <v>792</v>
      </c>
      <c r="B44" s="289"/>
      <c r="C44" s="59"/>
      <c r="E44" s="642"/>
      <c r="F44" s="643"/>
      <c r="G44" s="112"/>
    </row>
    <row r="45" spans="1:11" s="25" customFormat="1">
      <c r="A45" s="288" t="s">
        <v>793</v>
      </c>
      <c r="B45" s="289"/>
      <c r="C45" s="59"/>
      <c r="E45" s="642"/>
      <c r="F45" s="643"/>
      <c r="G45" s="112"/>
    </row>
    <row r="46" spans="1:11" s="25" customFormat="1">
      <c r="A46" s="288" t="s">
        <v>794</v>
      </c>
      <c r="B46" s="289"/>
      <c r="C46" s="59"/>
      <c r="E46" s="642"/>
      <c r="F46" s="643"/>
      <c r="G46" s="112"/>
    </row>
    <row r="47" spans="1:11" s="25" customFormat="1">
      <c r="A47" s="59"/>
      <c r="B47" s="59" t="s">
        <v>20</v>
      </c>
      <c r="C47" s="59"/>
      <c r="D47" s="59"/>
      <c r="E47" s="59"/>
      <c r="F47" s="59"/>
      <c r="G47" s="59"/>
    </row>
    <row r="48" spans="1:11" s="25" customFormat="1">
      <c r="A48" s="645"/>
      <c r="B48" s="645"/>
      <c r="C48" s="645"/>
      <c r="D48" s="645"/>
      <c r="E48" s="645"/>
      <c r="F48" s="645"/>
      <c r="G48" s="645"/>
    </row>
    <row r="49" spans="1:7" s="25" customFormat="1">
      <c r="A49" s="645"/>
      <c r="B49" s="645"/>
      <c r="C49" s="645"/>
      <c r="D49" s="645"/>
      <c r="E49" s="645"/>
      <c r="F49" s="645"/>
      <c r="G49" s="645"/>
    </row>
    <row r="50" spans="1:7" s="25" customFormat="1">
      <c r="A50" s="645"/>
      <c r="B50" s="645"/>
      <c r="C50" s="645"/>
      <c r="D50" s="645"/>
      <c r="E50" s="645"/>
      <c r="F50" s="645"/>
      <c r="G50" s="645"/>
    </row>
    <row r="51" spans="1:7" s="25" customFormat="1">
      <c r="A51" s="645"/>
      <c r="B51" s="645"/>
      <c r="C51" s="645"/>
      <c r="D51" s="645"/>
      <c r="E51" s="645"/>
      <c r="F51" s="645"/>
      <c r="G51" s="645"/>
    </row>
    <row r="52" spans="1:7" s="25" customFormat="1">
      <c r="A52" s="645"/>
      <c r="B52" s="645"/>
      <c r="C52" s="645"/>
      <c r="D52" s="645"/>
      <c r="E52" s="645"/>
      <c r="F52" s="645"/>
      <c r="G52" s="645"/>
    </row>
    <row r="53" spans="1:7" s="25" customFormat="1">
      <c r="A53" s="645"/>
      <c r="B53" s="645"/>
      <c r="C53" s="645"/>
      <c r="D53" s="645"/>
      <c r="E53" s="645"/>
      <c r="F53" s="645"/>
      <c r="G53" s="645"/>
    </row>
    <row r="54" spans="1:7" s="25" customFormat="1">
      <c r="A54" s="645"/>
      <c r="B54" s="645"/>
      <c r="C54" s="645"/>
      <c r="D54" s="645"/>
      <c r="E54" s="645"/>
      <c r="F54" s="645"/>
      <c r="G54" s="645"/>
    </row>
    <row r="55" spans="1:7" s="25" customFormat="1">
      <c r="A55" s="645"/>
      <c r="B55" s="645"/>
      <c r="C55" s="645"/>
      <c r="D55" s="645"/>
      <c r="E55" s="645"/>
      <c r="F55" s="645"/>
      <c r="G55" s="645"/>
    </row>
    <row r="56" spans="1:7" s="25" customFormat="1">
      <c r="A56" s="645"/>
      <c r="B56" s="645"/>
      <c r="C56" s="645"/>
      <c r="D56" s="645"/>
      <c r="E56" s="645"/>
      <c r="F56" s="645"/>
      <c r="G56" s="645"/>
    </row>
    <row r="57" spans="1:7" s="25" customFormat="1">
      <c r="A57" s="645"/>
      <c r="B57" s="645"/>
      <c r="C57" s="645"/>
      <c r="D57" s="645"/>
      <c r="E57" s="645"/>
      <c r="F57" s="645"/>
      <c r="G57" s="645"/>
    </row>
    <row r="58" spans="1:7" s="25" customFormat="1">
      <c r="A58" s="645"/>
      <c r="B58" s="645"/>
      <c r="C58" s="645"/>
      <c r="D58" s="645"/>
      <c r="E58" s="645"/>
      <c r="F58" s="645"/>
      <c r="G58" s="645"/>
    </row>
    <row r="59" spans="1:7" s="25" customFormat="1">
      <c r="A59" s="645"/>
      <c r="B59" s="645"/>
      <c r="C59" s="645"/>
      <c r="D59" s="645"/>
      <c r="E59" s="645"/>
      <c r="F59" s="645"/>
      <c r="G59" s="645"/>
    </row>
    <row r="60" spans="1:7" s="25" customFormat="1">
      <c r="A60" s="645"/>
      <c r="B60" s="645"/>
      <c r="C60" s="645"/>
      <c r="D60" s="645"/>
      <c r="E60" s="645"/>
      <c r="F60" s="645"/>
      <c r="G60" s="645"/>
    </row>
    <row r="61" spans="1:7" s="25" customFormat="1">
      <c r="A61" s="645"/>
      <c r="B61" s="645"/>
      <c r="C61" s="645"/>
      <c r="D61" s="645"/>
      <c r="E61" s="645"/>
      <c r="F61" s="645"/>
      <c r="G61" s="645"/>
    </row>
    <row r="62" spans="1:7" s="25" customFormat="1">
      <c r="A62" s="59"/>
      <c r="B62" s="646" t="s">
        <v>2418</v>
      </c>
      <c r="C62" s="646"/>
      <c r="D62" s="646"/>
      <c r="E62" s="646"/>
      <c r="F62" s="646"/>
      <c r="G62" s="646"/>
    </row>
    <row r="63" spans="1:7" s="25" customFormat="1">
      <c r="A63" s="59"/>
      <c r="B63" s="391"/>
      <c r="C63" s="391"/>
      <c r="D63" s="391"/>
      <c r="E63" s="391"/>
      <c r="F63" s="391"/>
      <c r="G63" s="391"/>
    </row>
    <row r="64" spans="1:7" s="25" customFormat="1">
      <c r="A64" s="59"/>
      <c r="B64" s="646" t="s">
        <v>22</v>
      </c>
      <c r="C64" s="646"/>
      <c r="D64" s="646"/>
      <c r="E64" s="646"/>
      <c r="F64" s="646"/>
      <c r="G64" s="646"/>
    </row>
    <row r="65" spans="1:7" s="25" customFormat="1">
      <c r="A65" s="59"/>
      <c r="B65" s="391"/>
      <c r="C65" s="391"/>
      <c r="D65" s="391"/>
      <c r="E65" s="391"/>
      <c r="F65" s="391"/>
      <c r="G65" s="391"/>
    </row>
    <row r="66" spans="1:7" s="25" customFormat="1">
      <c r="A66" s="59"/>
      <c r="B66" s="646" t="s">
        <v>23</v>
      </c>
      <c r="C66" s="646"/>
      <c r="D66" s="646"/>
      <c r="E66" s="646"/>
      <c r="F66" s="646"/>
      <c r="G66" s="646"/>
    </row>
    <row r="67" spans="1:7" s="25" customFormat="1">
      <c r="A67" s="59"/>
      <c r="B67" s="646" t="s">
        <v>24</v>
      </c>
      <c r="C67" s="646"/>
      <c r="D67" s="646"/>
      <c r="E67" s="646"/>
      <c r="F67" s="646"/>
      <c r="G67" s="646"/>
    </row>
    <row r="68" spans="1:7" s="25" customFormat="1">
      <c r="A68" s="289"/>
      <c r="B68" s="289"/>
      <c r="E68" s="332"/>
    </row>
    <row r="69" spans="1:7" s="25" customFormat="1">
      <c r="A69" s="290"/>
      <c r="B69" s="289"/>
      <c r="C69" s="332"/>
      <c r="E69" s="332"/>
    </row>
    <row r="70" spans="1:7" s="25" customFormat="1">
      <c r="A70" s="290"/>
      <c r="B70" s="289"/>
      <c r="C70" s="332"/>
      <c r="E70" s="332"/>
    </row>
    <row r="71" spans="1:7" s="25" customFormat="1">
      <c r="A71" s="290"/>
      <c r="B71" s="289"/>
      <c r="C71" s="332"/>
      <c r="E71" s="332"/>
    </row>
  </sheetData>
  <mergeCells count="36">
    <mergeCell ref="B7:C7"/>
    <mergeCell ref="D7:E7"/>
    <mergeCell ref="G7:H7"/>
    <mergeCell ref="I7:J7"/>
    <mergeCell ref="A1:I1"/>
    <mergeCell ref="B2:I3"/>
    <mergeCell ref="A4:I4"/>
    <mergeCell ref="A5:I5"/>
    <mergeCell ref="K16:K18"/>
    <mergeCell ref="B17:C17"/>
    <mergeCell ref="F13:F14"/>
    <mergeCell ref="A15:A18"/>
    <mergeCell ref="B15:C16"/>
    <mergeCell ref="D15:D18"/>
    <mergeCell ref="D8:D14"/>
    <mergeCell ref="A8:A14"/>
    <mergeCell ref="H16:H18"/>
    <mergeCell ref="I16:I18"/>
    <mergeCell ref="E8:E14"/>
    <mergeCell ref="B10:C10"/>
    <mergeCell ref="B8:C9"/>
    <mergeCell ref="A19:A27"/>
    <mergeCell ref="B19:C21"/>
    <mergeCell ref="D19:D27"/>
    <mergeCell ref="E19:E27"/>
    <mergeCell ref="B24:C24"/>
    <mergeCell ref="B33:G33"/>
    <mergeCell ref="J16:J18"/>
    <mergeCell ref="E15:E18"/>
    <mergeCell ref="F16:F18"/>
    <mergeCell ref="G16:G18"/>
    <mergeCell ref="A28:A31"/>
    <mergeCell ref="B28:C29"/>
    <mergeCell ref="D28:D31"/>
    <mergeCell ref="E28:E31"/>
    <mergeCell ref="B30:C30"/>
  </mergeCells>
  <phoneticPr fontId="4" type="noConversion"/>
  <pageMargins left="0.7" right="0.7" top="0.75" bottom="0.75" header="0.3" footer="0.3"/>
  <pageSetup paperSize="9" scale="70" orientation="portrait" r:id="rId1"/>
</worksheet>
</file>

<file path=xl/worksheets/sheet55.xml><?xml version="1.0" encoding="utf-8"?>
<worksheet xmlns="http://schemas.openxmlformats.org/spreadsheetml/2006/main" xmlns:r="http://schemas.openxmlformats.org/officeDocument/2006/relationships">
  <sheetPr>
    <tabColor rgb="FF00B050"/>
  </sheetPr>
  <dimension ref="A1:P77"/>
  <sheetViews>
    <sheetView topLeftCell="A2" workbookViewId="0">
      <selection activeCell="A5" sqref="A5:I5"/>
    </sheetView>
  </sheetViews>
  <sheetFormatPr defaultRowHeight="15.75"/>
  <cols>
    <col min="1" max="1" width="7.140625" style="7" customWidth="1"/>
    <col min="2" max="2" width="15.140625" style="54" customWidth="1"/>
    <col min="3" max="3" width="12.7109375" style="54" customWidth="1"/>
    <col min="4" max="4" width="7.42578125" style="79" customWidth="1"/>
    <col min="5" max="5" width="7.28515625" style="79" customWidth="1"/>
    <col min="6" max="6" width="34.7109375" style="54" customWidth="1"/>
    <col min="7" max="7" width="8.42578125" style="54" customWidth="1"/>
    <col min="8" max="8" width="6.140625" style="54" customWidth="1"/>
    <col min="9" max="9" width="6.7109375" style="79" customWidth="1"/>
    <col min="10" max="10" width="5.140625" style="54" customWidth="1"/>
    <col min="11" max="11" width="13.140625" style="63" customWidth="1"/>
    <col min="12" max="13" width="9.140625" style="54" hidden="1" customWidth="1"/>
    <col min="14" max="15" width="9.140625" style="54"/>
    <col min="16" max="16" width="9.85546875" style="54" bestFit="1" customWidth="1"/>
    <col min="17" max="16384" width="9.140625" style="54"/>
  </cols>
  <sheetData>
    <row r="1" spans="1:16">
      <c r="H1" s="54" t="s">
        <v>237</v>
      </c>
    </row>
    <row r="2" spans="1:16">
      <c r="A2" s="1455" t="s">
        <v>446</v>
      </c>
      <c r="B2" s="1455"/>
      <c r="C2" s="1455"/>
      <c r="D2" s="1455"/>
      <c r="E2" s="1455"/>
      <c r="F2" s="1455"/>
      <c r="G2" s="1455"/>
      <c r="H2" s="1455"/>
      <c r="I2" s="1455"/>
    </row>
    <row r="3" spans="1:16">
      <c r="A3" s="144"/>
      <c r="B3" s="1456" t="s">
        <v>238</v>
      </c>
      <c r="C3" s="1456"/>
      <c r="D3" s="1456"/>
      <c r="E3" s="1456"/>
      <c r="F3" s="1456"/>
      <c r="G3" s="1456"/>
      <c r="H3" s="1456"/>
      <c r="I3" s="1456"/>
    </row>
    <row r="4" spans="1:16">
      <c r="A4" s="145"/>
      <c r="B4" s="1456"/>
      <c r="C4" s="1456"/>
      <c r="D4" s="1456"/>
      <c r="E4" s="1456"/>
      <c r="F4" s="1456"/>
      <c r="G4" s="1456"/>
      <c r="H4" s="1456"/>
      <c r="I4" s="1456"/>
    </row>
    <row r="5" spans="1:16">
      <c r="A5" s="1455" t="s">
        <v>239</v>
      </c>
      <c r="B5" s="1455"/>
      <c r="C5" s="1455"/>
      <c r="D5" s="1455"/>
      <c r="E5" s="1455"/>
      <c r="F5" s="1455"/>
      <c r="G5" s="1455"/>
      <c r="H5" s="1455"/>
      <c r="I5" s="1455"/>
    </row>
    <row r="6" spans="1:16">
      <c r="A6" s="1257" t="s">
        <v>240</v>
      </c>
      <c r="B6" s="1257"/>
      <c r="C6" s="1257"/>
      <c r="D6" s="1257"/>
      <c r="E6" s="1257"/>
      <c r="F6" s="1257"/>
      <c r="G6" s="1257"/>
      <c r="H6" s="1257"/>
      <c r="I6" s="1257"/>
    </row>
    <row r="8" spans="1:16" ht="75" customHeight="1">
      <c r="A8" s="82" t="s">
        <v>434</v>
      </c>
      <c r="B8" s="1267" t="s">
        <v>1048</v>
      </c>
      <c r="C8" s="1267"/>
      <c r="D8" s="1457" t="s">
        <v>451</v>
      </c>
      <c r="E8" s="1458"/>
      <c r="F8" s="82" t="s">
        <v>241</v>
      </c>
      <c r="G8" s="1255" t="s">
        <v>633</v>
      </c>
      <c r="H8" s="1255"/>
      <c r="I8" s="1255" t="s">
        <v>399</v>
      </c>
      <c r="J8" s="1255"/>
      <c r="K8" s="146" t="s">
        <v>624</v>
      </c>
    </row>
    <row r="9" spans="1:16" ht="54.75" customHeight="1">
      <c r="A9" s="1459" t="s">
        <v>454</v>
      </c>
      <c r="B9" s="1457" t="s">
        <v>64</v>
      </c>
      <c r="C9" s="1458"/>
      <c r="D9" s="1464" t="s">
        <v>997</v>
      </c>
      <c r="E9" s="1471">
        <v>0.05</v>
      </c>
      <c r="F9" s="147" t="s">
        <v>242</v>
      </c>
      <c r="G9" s="117" t="s">
        <v>998</v>
      </c>
      <c r="H9" s="118">
        <v>0.16</v>
      </c>
      <c r="I9" s="117" t="s">
        <v>999</v>
      </c>
      <c r="J9" s="82"/>
      <c r="K9" s="116">
        <f>J9*H9</f>
        <v>0</v>
      </c>
    </row>
    <row r="10" spans="1:16" ht="54.75" customHeight="1">
      <c r="A10" s="1460"/>
      <c r="B10" s="1462"/>
      <c r="C10" s="1463"/>
      <c r="D10" s="1465"/>
      <c r="E10" s="1472"/>
      <c r="F10" s="148" t="s">
        <v>243</v>
      </c>
      <c r="G10" s="117" t="s">
        <v>1000</v>
      </c>
      <c r="H10" s="118">
        <v>0.34</v>
      </c>
      <c r="I10" s="117" t="s">
        <v>1001</v>
      </c>
      <c r="J10" s="118"/>
      <c r="K10" s="116">
        <f t="shared" ref="K10:K36" si="0">J10*H10</f>
        <v>0</v>
      </c>
      <c r="P10" s="149"/>
    </row>
    <row r="11" spans="1:16" ht="48" customHeight="1">
      <c r="A11" s="1460"/>
      <c r="B11" s="1467" t="s">
        <v>1049</v>
      </c>
      <c r="C11" s="1474"/>
      <c r="D11" s="1465"/>
      <c r="E11" s="1472"/>
      <c r="F11" s="150" t="s">
        <v>244</v>
      </c>
      <c r="G11" s="117" t="s">
        <v>1002</v>
      </c>
      <c r="H11" s="118">
        <v>0.2</v>
      </c>
      <c r="I11" s="117" t="s">
        <v>1003</v>
      </c>
      <c r="J11" s="151"/>
      <c r="K11" s="116">
        <f t="shared" si="0"/>
        <v>0</v>
      </c>
      <c r="P11" s="149"/>
    </row>
    <row r="12" spans="1:16" ht="40.5" customHeight="1">
      <c r="A12" s="1460"/>
      <c r="B12" s="152"/>
      <c r="C12" s="153"/>
      <c r="D12" s="1465"/>
      <c r="E12" s="1472"/>
      <c r="F12" s="147" t="s">
        <v>245</v>
      </c>
      <c r="G12" s="117" t="s">
        <v>1004</v>
      </c>
      <c r="H12" s="118">
        <v>0.1</v>
      </c>
      <c r="I12" s="117" t="s">
        <v>1005</v>
      </c>
      <c r="J12" s="118"/>
      <c r="K12" s="116">
        <f t="shared" si="0"/>
        <v>0</v>
      </c>
      <c r="P12" s="149"/>
    </row>
    <row r="13" spans="1:16" ht="29.25" customHeight="1">
      <c r="A13" s="1460"/>
      <c r="B13" s="152"/>
      <c r="C13" s="153"/>
      <c r="D13" s="1465"/>
      <c r="E13" s="1472"/>
      <c r="F13" s="147" t="s">
        <v>246</v>
      </c>
      <c r="G13" s="117" t="s">
        <v>1006</v>
      </c>
      <c r="H13" s="118">
        <v>0.1</v>
      </c>
      <c r="I13" s="117" t="s">
        <v>1007</v>
      </c>
      <c r="J13" s="118"/>
      <c r="K13" s="116">
        <f t="shared" si="0"/>
        <v>0</v>
      </c>
      <c r="P13" s="149"/>
    </row>
    <row r="14" spans="1:16" ht="36.75" customHeight="1">
      <c r="A14" s="1460"/>
      <c r="B14" s="154" t="s">
        <v>46</v>
      </c>
      <c r="C14" s="155">
        <f>E11*(H9*J9+H10*J10+H11*J11+H12*J12+H13*J13+H14*J14)</f>
        <v>0</v>
      </c>
      <c r="D14" s="1465"/>
      <c r="E14" s="1472"/>
      <c r="F14" s="1475" t="s">
        <v>247</v>
      </c>
      <c r="G14" s="117" t="s">
        <v>1008</v>
      </c>
      <c r="H14" s="118">
        <v>0.1</v>
      </c>
      <c r="I14" s="117" t="s">
        <v>1009</v>
      </c>
      <c r="J14" s="118"/>
      <c r="K14" s="116">
        <f t="shared" si="0"/>
        <v>0</v>
      </c>
    </row>
    <row r="15" spans="1:16" ht="20.25" hidden="1" customHeight="1">
      <c r="A15" s="1461"/>
      <c r="B15" s="156" t="s">
        <v>46</v>
      </c>
      <c r="C15" s="155">
        <f>E9*(H9*J9+H10*J10+H14*J14)</f>
        <v>0</v>
      </c>
      <c r="D15" s="1466"/>
      <c r="E15" s="1473"/>
      <c r="F15" s="1476"/>
      <c r="G15" s="117" t="s">
        <v>1008</v>
      </c>
      <c r="H15" s="118">
        <v>0.2</v>
      </c>
      <c r="I15" s="117" t="s">
        <v>1009</v>
      </c>
      <c r="J15" s="118"/>
      <c r="K15" s="116">
        <f t="shared" si="0"/>
        <v>0</v>
      </c>
    </row>
    <row r="16" spans="1:16" ht="56.25" customHeight="1">
      <c r="A16" s="1469" t="s">
        <v>459</v>
      </c>
      <c r="B16" s="1457" t="s">
        <v>248</v>
      </c>
      <c r="C16" s="1478"/>
      <c r="D16" s="1464" t="s">
        <v>1010</v>
      </c>
      <c r="E16" s="1480">
        <v>0.05</v>
      </c>
      <c r="F16" s="157" t="s">
        <v>364</v>
      </c>
      <c r="G16" s="117" t="s">
        <v>1011</v>
      </c>
      <c r="H16" s="118">
        <v>0.3</v>
      </c>
      <c r="I16" s="117" t="s">
        <v>1012</v>
      </c>
      <c r="J16" s="118"/>
      <c r="K16" s="116">
        <f t="shared" si="0"/>
        <v>0</v>
      </c>
    </row>
    <row r="17" spans="1:11" ht="78.75">
      <c r="A17" s="1470"/>
      <c r="B17" s="1462"/>
      <c r="C17" s="1479"/>
      <c r="D17" s="1465"/>
      <c r="E17" s="1481"/>
      <c r="F17" s="157" t="s">
        <v>249</v>
      </c>
      <c r="G17" s="117" t="s">
        <v>1013</v>
      </c>
      <c r="H17" s="118">
        <v>0.3</v>
      </c>
      <c r="I17" s="117" t="s">
        <v>1014</v>
      </c>
      <c r="J17" s="118"/>
      <c r="K17" s="116">
        <f t="shared" si="0"/>
        <v>0</v>
      </c>
    </row>
    <row r="18" spans="1:11" ht="60.75" customHeight="1">
      <c r="A18" s="1470"/>
      <c r="B18" s="1467" t="s">
        <v>1050</v>
      </c>
      <c r="C18" s="1468"/>
      <c r="D18" s="1465"/>
      <c r="E18" s="1481"/>
      <c r="F18" s="1475" t="s">
        <v>250</v>
      </c>
      <c r="G18" s="1477" t="s">
        <v>1015</v>
      </c>
      <c r="H18" s="1477">
        <v>0.4</v>
      </c>
      <c r="I18" s="1477" t="s">
        <v>1016</v>
      </c>
      <c r="J18" s="1477"/>
      <c r="K18" s="116">
        <f t="shared" si="0"/>
        <v>0</v>
      </c>
    </row>
    <row r="19" spans="1:11" ht="33.75" customHeight="1">
      <c r="A19" s="1470"/>
      <c r="B19" s="154" t="s">
        <v>47</v>
      </c>
      <c r="C19" s="155">
        <f>E16*(H16*J16+H17*J17+H18*J18)</f>
        <v>0</v>
      </c>
      <c r="D19" s="1465"/>
      <c r="E19" s="1481"/>
      <c r="F19" s="1476"/>
      <c r="G19" s="1477"/>
      <c r="H19" s="1477"/>
      <c r="I19" s="1477"/>
      <c r="J19" s="1477"/>
      <c r="K19" s="116"/>
    </row>
    <row r="20" spans="1:11" ht="56.25" customHeight="1">
      <c r="A20" s="1469" t="s">
        <v>470</v>
      </c>
      <c r="B20" s="1483" t="s">
        <v>251</v>
      </c>
      <c r="C20" s="1484"/>
      <c r="D20" s="1464" t="s">
        <v>1017</v>
      </c>
      <c r="E20" s="1480">
        <v>0.3</v>
      </c>
      <c r="F20" s="157" t="s">
        <v>252</v>
      </c>
      <c r="G20" s="117" t="s">
        <v>1018</v>
      </c>
      <c r="H20" s="118">
        <v>0.06</v>
      </c>
      <c r="I20" s="117" t="s">
        <v>1019</v>
      </c>
      <c r="J20" s="118"/>
      <c r="K20" s="116">
        <f t="shared" si="0"/>
        <v>0</v>
      </c>
    </row>
    <row r="21" spans="1:11" ht="18.75">
      <c r="A21" s="1470"/>
      <c r="B21" s="1485"/>
      <c r="C21" s="1486"/>
      <c r="D21" s="1465"/>
      <c r="E21" s="1481"/>
      <c r="F21" s="157" t="s">
        <v>253</v>
      </c>
      <c r="G21" s="117" t="s">
        <v>1020</v>
      </c>
      <c r="H21" s="118">
        <v>0.06</v>
      </c>
      <c r="I21" s="117" t="s">
        <v>1021</v>
      </c>
      <c r="J21" s="118"/>
      <c r="K21" s="116">
        <f t="shared" si="0"/>
        <v>0</v>
      </c>
    </row>
    <row r="22" spans="1:11" ht="31.5">
      <c r="A22" s="1470"/>
      <c r="B22" s="1485"/>
      <c r="C22" s="1486"/>
      <c r="D22" s="1465"/>
      <c r="E22" s="1481"/>
      <c r="F22" s="157" t="s">
        <v>254</v>
      </c>
      <c r="G22" s="117" t="s">
        <v>1022</v>
      </c>
      <c r="H22" s="118">
        <v>0.06</v>
      </c>
      <c r="I22" s="117" t="s">
        <v>1023</v>
      </c>
      <c r="J22" s="118"/>
      <c r="K22" s="116">
        <f t="shared" si="0"/>
        <v>0</v>
      </c>
    </row>
    <row r="23" spans="1:11" ht="74.25" customHeight="1">
      <c r="A23" s="1470"/>
      <c r="B23" s="158"/>
      <c r="C23" s="159"/>
      <c r="D23" s="1465"/>
      <c r="E23" s="1481"/>
      <c r="F23" s="157" t="s">
        <v>255</v>
      </c>
      <c r="G23" s="117" t="s">
        <v>1024</v>
      </c>
      <c r="H23" s="118">
        <v>0.11</v>
      </c>
      <c r="I23" s="117" t="s">
        <v>1025</v>
      </c>
      <c r="J23" s="118"/>
      <c r="K23" s="116">
        <f t="shared" si="0"/>
        <v>0</v>
      </c>
    </row>
    <row r="24" spans="1:11" ht="63">
      <c r="A24" s="1470"/>
      <c r="B24" s="160"/>
      <c r="C24" s="161"/>
      <c r="D24" s="1465"/>
      <c r="E24" s="1481"/>
      <c r="F24" s="157" t="s">
        <v>256</v>
      </c>
      <c r="G24" s="117" t="s">
        <v>1026</v>
      </c>
      <c r="H24" s="118">
        <v>0.15</v>
      </c>
      <c r="I24" s="117" t="s">
        <v>1027</v>
      </c>
      <c r="J24" s="118"/>
      <c r="K24" s="116">
        <f t="shared" si="0"/>
        <v>0</v>
      </c>
    </row>
    <row r="25" spans="1:11" ht="86.25" customHeight="1">
      <c r="A25" s="1470"/>
      <c r="B25" s="1488" t="s">
        <v>1051</v>
      </c>
      <c r="C25" s="1489"/>
      <c r="D25" s="1465"/>
      <c r="E25" s="1481"/>
      <c r="F25" s="162" t="s">
        <v>257</v>
      </c>
      <c r="G25" s="117" t="s">
        <v>1028</v>
      </c>
      <c r="H25" s="118">
        <v>0.19</v>
      </c>
      <c r="I25" s="117" t="s">
        <v>1029</v>
      </c>
      <c r="J25" s="118"/>
      <c r="K25" s="116">
        <f t="shared" si="0"/>
        <v>0</v>
      </c>
    </row>
    <row r="26" spans="1:11" ht="31.5">
      <c r="A26" s="1470"/>
      <c r="B26" s="160"/>
      <c r="C26" s="161"/>
      <c r="D26" s="1465"/>
      <c r="E26" s="1481"/>
      <c r="F26" s="163" t="s">
        <v>258</v>
      </c>
      <c r="G26" s="117" t="s">
        <v>1030</v>
      </c>
      <c r="H26" s="118">
        <v>0.1</v>
      </c>
      <c r="I26" s="117" t="s">
        <v>1031</v>
      </c>
      <c r="J26" s="118"/>
      <c r="K26" s="116">
        <f t="shared" si="0"/>
        <v>0</v>
      </c>
    </row>
    <row r="27" spans="1:11" ht="31.5">
      <c r="A27" s="1470"/>
      <c r="B27" s="160"/>
      <c r="C27" s="161"/>
      <c r="D27" s="1465"/>
      <c r="E27" s="1481"/>
      <c r="F27" s="157" t="s">
        <v>259</v>
      </c>
      <c r="G27" s="117" t="s">
        <v>1032</v>
      </c>
      <c r="H27" s="118">
        <v>0.16</v>
      </c>
      <c r="I27" s="117" t="s">
        <v>1033</v>
      </c>
      <c r="J27" s="118"/>
      <c r="K27" s="116">
        <f t="shared" si="0"/>
        <v>0</v>
      </c>
    </row>
    <row r="28" spans="1:11" ht="63">
      <c r="A28" s="1482"/>
      <c r="B28" s="154" t="s">
        <v>48</v>
      </c>
      <c r="C28" s="164">
        <f>E20*(H20*J20+H21*J21+H22*J22+H23*J23+H24*J24+H25*J25+H26*J26+H27*J27+H28*J28)</f>
        <v>0</v>
      </c>
      <c r="D28" s="1466"/>
      <c r="E28" s="1487"/>
      <c r="F28" s="162" t="s">
        <v>260</v>
      </c>
      <c r="G28" s="117" t="s">
        <v>1034</v>
      </c>
      <c r="H28" s="118">
        <v>0.11</v>
      </c>
      <c r="I28" s="117" t="s">
        <v>931</v>
      </c>
      <c r="J28" s="118"/>
      <c r="K28" s="116">
        <f t="shared" si="0"/>
        <v>0</v>
      </c>
    </row>
    <row r="29" spans="1:11" ht="56.25" customHeight="1">
      <c r="A29" s="1469" t="s">
        <v>261</v>
      </c>
      <c r="B29" s="1483" t="s">
        <v>262</v>
      </c>
      <c r="C29" s="1484"/>
      <c r="D29" s="1464" t="s">
        <v>1035</v>
      </c>
      <c r="E29" s="1480">
        <v>0.3</v>
      </c>
      <c r="F29" s="162" t="s">
        <v>365</v>
      </c>
      <c r="G29" s="117" t="s">
        <v>932</v>
      </c>
      <c r="H29" s="118">
        <v>0.25</v>
      </c>
      <c r="I29" s="117" t="s">
        <v>1036</v>
      </c>
      <c r="J29" s="118"/>
      <c r="K29" s="116">
        <f t="shared" si="0"/>
        <v>0</v>
      </c>
    </row>
    <row r="30" spans="1:11" ht="47.25">
      <c r="A30" s="1470"/>
      <c r="B30" s="1485"/>
      <c r="C30" s="1486"/>
      <c r="D30" s="1465"/>
      <c r="E30" s="1481"/>
      <c r="F30" s="162" t="s">
        <v>263</v>
      </c>
      <c r="G30" s="117" t="s">
        <v>934</v>
      </c>
      <c r="H30" s="118">
        <v>0.25</v>
      </c>
      <c r="I30" s="117" t="s">
        <v>1037</v>
      </c>
      <c r="J30" s="118"/>
      <c r="K30" s="116">
        <f t="shared" si="0"/>
        <v>0</v>
      </c>
    </row>
    <row r="31" spans="1:11" ht="81" customHeight="1">
      <c r="A31" s="1470"/>
      <c r="B31" s="1491" t="s">
        <v>1052</v>
      </c>
      <c r="C31" s="1492"/>
      <c r="D31" s="1465"/>
      <c r="E31" s="1481"/>
      <c r="F31" s="162" t="s">
        <v>264</v>
      </c>
      <c r="G31" s="117" t="s">
        <v>1038</v>
      </c>
      <c r="H31" s="118">
        <v>0.25</v>
      </c>
      <c r="I31" s="117" t="s">
        <v>1039</v>
      </c>
      <c r="J31" s="118"/>
      <c r="K31" s="116">
        <f t="shared" si="0"/>
        <v>0</v>
      </c>
    </row>
    <row r="32" spans="1:11" ht="63">
      <c r="A32" s="1482"/>
      <c r="B32" s="154" t="s">
        <v>49</v>
      </c>
      <c r="C32" s="164">
        <f>E29*(H29*J29+H30*J30+H31*J31+H32*J32)</f>
        <v>0</v>
      </c>
      <c r="D32" s="1466"/>
      <c r="E32" s="1487"/>
      <c r="F32" s="165" t="s">
        <v>265</v>
      </c>
      <c r="G32" s="166" t="s">
        <v>1040</v>
      </c>
      <c r="H32" s="118">
        <v>0.25</v>
      </c>
      <c r="I32" s="117" t="s">
        <v>1041</v>
      </c>
      <c r="J32" s="118"/>
      <c r="K32" s="116">
        <f t="shared" si="0"/>
        <v>0</v>
      </c>
    </row>
    <row r="33" spans="1:11" ht="47.25" customHeight="1">
      <c r="A33" s="1490" t="s">
        <v>476</v>
      </c>
      <c r="B33" s="1483" t="s">
        <v>266</v>
      </c>
      <c r="C33" s="1484"/>
      <c r="D33" s="1464" t="s">
        <v>1042</v>
      </c>
      <c r="E33" s="1480">
        <v>0.3</v>
      </c>
      <c r="F33" s="1498" t="s">
        <v>366</v>
      </c>
      <c r="G33" s="1500" t="s">
        <v>1043</v>
      </c>
      <c r="H33" s="1493">
        <v>0.5</v>
      </c>
      <c r="I33" s="1477" t="s">
        <v>1044</v>
      </c>
      <c r="J33" s="1493"/>
      <c r="K33" s="116">
        <f t="shared" si="0"/>
        <v>0</v>
      </c>
    </row>
    <row r="34" spans="1:11" ht="64.5" customHeight="1">
      <c r="A34" s="1490"/>
      <c r="B34" s="1485"/>
      <c r="C34" s="1486"/>
      <c r="D34" s="1465"/>
      <c r="E34" s="1481"/>
      <c r="F34" s="1499"/>
      <c r="G34" s="1500"/>
      <c r="H34" s="1493"/>
      <c r="I34" s="1477"/>
      <c r="J34" s="1493"/>
      <c r="K34" s="116"/>
    </row>
    <row r="35" spans="1:11" ht="88.5" customHeight="1">
      <c r="A35" s="1490"/>
      <c r="B35" s="1491" t="s">
        <v>1053</v>
      </c>
      <c r="C35" s="1492"/>
      <c r="D35" s="1465"/>
      <c r="E35" s="1481"/>
      <c r="F35" s="1494" t="s">
        <v>267</v>
      </c>
      <c r="G35" s="1477" t="s">
        <v>1045</v>
      </c>
      <c r="H35" s="1477">
        <v>0.5</v>
      </c>
      <c r="I35" s="1477" t="s">
        <v>1046</v>
      </c>
      <c r="J35" s="1477"/>
      <c r="K35" s="116">
        <f t="shared" si="0"/>
        <v>0</v>
      </c>
    </row>
    <row r="36" spans="1:11" ht="18.75" hidden="1" customHeight="1">
      <c r="A36" s="1490"/>
      <c r="B36" s="160"/>
      <c r="C36" s="161"/>
      <c r="D36" s="1465"/>
      <c r="E36" s="1481"/>
      <c r="F36" s="1495"/>
      <c r="G36" s="1477"/>
      <c r="H36" s="1477"/>
      <c r="I36" s="1477"/>
      <c r="J36" s="1477"/>
      <c r="K36" s="116">
        <f t="shared" si="0"/>
        <v>0</v>
      </c>
    </row>
    <row r="37" spans="1:11" ht="30" customHeight="1">
      <c r="A37" s="1490"/>
      <c r="B37" s="154" t="s">
        <v>50</v>
      </c>
      <c r="C37" s="164">
        <f>E33*(H33*J33+H35*J35)</f>
        <v>0</v>
      </c>
      <c r="D37" s="1466"/>
      <c r="E37" s="1487"/>
      <c r="F37" s="1496"/>
      <c r="G37" s="1477"/>
      <c r="H37" s="1477"/>
      <c r="I37" s="1477"/>
      <c r="J37" s="1477"/>
      <c r="K37" s="116"/>
    </row>
    <row r="38" spans="1:11">
      <c r="A38" s="238"/>
      <c r="B38" s="141" t="s">
        <v>443</v>
      </c>
      <c r="C38" s="239"/>
      <c r="D38" s="240"/>
      <c r="E38" s="240">
        <f>SUM(E9:E37)</f>
        <v>1</v>
      </c>
      <c r="F38" s="80"/>
      <c r="G38" s="80"/>
      <c r="H38" s="241"/>
      <c r="I38" s="240"/>
      <c r="J38" s="242" t="s">
        <v>1047</v>
      </c>
      <c r="K38" s="243">
        <f>C14+C19+C28+C32+C37</f>
        <v>0</v>
      </c>
    </row>
    <row r="39" spans="1:11">
      <c r="A39" s="244"/>
      <c r="B39" s="1497" t="s">
        <v>444</v>
      </c>
      <c r="C39" s="1497"/>
      <c r="D39" s="1497"/>
      <c r="E39" s="1497"/>
      <c r="F39" s="1497"/>
      <c r="G39" s="1497"/>
      <c r="H39" s="169"/>
      <c r="I39" s="169"/>
      <c r="J39" s="119"/>
      <c r="K39" s="84" t="str">
        <f>IF(K38&lt;=0.5,"низький",IF(K38&lt;=0.75,"середній",(IF(K38&lt;=0.95,"достатній",(IF(K38&lt;=1,"високий"))))))</f>
        <v>низький</v>
      </c>
    </row>
    <row r="40" spans="1:11" s="302" customFormat="1">
      <c r="A40" s="288" t="s">
        <v>182</v>
      </c>
      <c r="B40" s="289"/>
      <c r="C40" s="342"/>
      <c r="E40" s="343"/>
      <c r="F40" s="344"/>
      <c r="G40" s="112"/>
    </row>
    <row r="41" spans="1:11" s="302" customFormat="1" ht="17.25">
      <c r="A41" s="345" t="s">
        <v>589</v>
      </c>
      <c r="B41" s="346"/>
      <c r="C41" s="347"/>
      <c r="D41" s="303"/>
      <c r="E41" s="348"/>
      <c r="F41" s="349"/>
      <c r="G41" s="112"/>
    </row>
    <row r="42" spans="1:11" s="302" customFormat="1" ht="17.25">
      <c r="A42" s="345" t="s">
        <v>590</v>
      </c>
      <c r="B42" s="346"/>
      <c r="C42" s="347"/>
      <c r="D42" s="303"/>
      <c r="E42" s="348"/>
      <c r="F42" s="349"/>
      <c r="G42" s="112"/>
    </row>
    <row r="43" spans="1:11" s="302" customFormat="1" ht="17.25">
      <c r="A43" s="345" t="s">
        <v>591</v>
      </c>
      <c r="B43" s="346"/>
      <c r="C43" s="347"/>
      <c r="D43" s="303"/>
      <c r="E43" s="348"/>
      <c r="F43" s="349"/>
      <c r="G43" s="112"/>
    </row>
    <row r="44" spans="1:11" s="302" customFormat="1" ht="17.25">
      <c r="A44" s="345" t="s">
        <v>592</v>
      </c>
      <c r="B44" s="346"/>
      <c r="C44" s="347"/>
      <c r="D44" s="303"/>
      <c r="E44" s="348"/>
      <c r="F44" s="349"/>
      <c r="G44" s="112"/>
    </row>
    <row r="45" spans="1:11" s="302" customFormat="1" ht="17.25">
      <c r="A45" s="345" t="s">
        <v>593</v>
      </c>
      <c r="B45" s="346"/>
      <c r="C45" s="347"/>
      <c r="D45" s="303"/>
      <c r="E45" s="348"/>
      <c r="F45" s="349"/>
      <c r="G45" s="112"/>
    </row>
    <row r="46" spans="1:11" s="302" customFormat="1" ht="17.25">
      <c r="A46" s="345" t="s">
        <v>594</v>
      </c>
      <c r="B46" s="346"/>
      <c r="C46" s="347"/>
      <c r="D46" s="303"/>
      <c r="E46" s="348"/>
      <c r="F46" s="349"/>
      <c r="G46" s="112"/>
    </row>
    <row r="47" spans="1:11" s="302" customFormat="1" ht="17.25">
      <c r="A47" s="345" t="s">
        <v>595</v>
      </c>
      <c r="B47" s="346"/>
      <c r="C47" s="347"/>
      <c r="D47" s="303"/>
      <c r="E47" s="348"/>
      <c r="F47" s="349"/>
      <c r="G47" s="112"/>
    </row>
    <row r="48" spans="1:11" s="302" customFormat="1">
      <c r="A48" s="350" t="s">
        <v>596</v>
      </c>
      <c r="B48" s="346"/>
      <c r="C48" s="347"/>
      <c r="D48" s="303"/>
      <c r="E48" s="348"/>
      <c r="F48" s="349"/>
      <c r="G48" s="112"/>
    </row>
    <row r="49" spans="1:7" s="302" customFormat="1">
      <c r="A49" s="345" t="s">
        <v>597</v>
      </c>
      <c r="B49" s="346"/>
      <c r="C49" s="347"/>
      <c r="D49" s="303"/>
      <c r="E49" s="348"/>
      <c r="F49" s="349"/>
      <c r="G49" s="112"/>
    </row>
    <row r="50" spans="1:7" s="302" customFormat="1">
      <c r="A50" s="288" t="s">
        <v>792</v>
      </c>
      <c r="B50" s="346"/>
      <c r="C50" s="347"/>
      <c r="D50" s="303"/>
      <c r="E50" s="348"/>
      <c r="F50" s="349"/>
      <c r="G50" s="112"/>
    </row>
    <row r="51" spans="1:7" s="302" customFormat="1">
      <c r="A51" s="288" t="s">
        <v>793</v>
      </c>
      <c r="B51" s="346"/>
      <c r="C51" s="347"/>
      <c r="D51" s="303"/>
      <c r="E51" s="348"/>
      <c r="F51" s="349"/>
      <c r="G51" s="112"/>
    </row>
    <row r="52" spans="1:7" s="302" customFormat="1">
      <c r="A52" s="288" t="s">
        <v>794</v>
      </c>
      <c r="B52" s="346"/>
      <c r="C52" s="347"/>
      <c r="D52" s="303"/>
      <c r="E52" s="348"/>
      <c r="F52" s="349"/>
      <c r="G52" s="112"/>
    </row>
    <row r="53" spans="1:7" s="302" customFormat="1">
      <c r="A53" s="342"/>
      <c r="B53" s="342" t="s">
        <v>20</v>
      </c>
      <c r="C53" s="342"/>
      <c r="D53" s="342"/>
      <c r="E53" s="342"/>
      <c r="F53" s="342"/>
      <c r="G53" s="342"/>
    </row>
    <row r="54" spans="1:7" s="302" customFormat="1">
      <c r="A54" s="351"/>
      <c r="B54" s="351"/>
      <c r="C54" s="351"/>
      <c r="D54" s="351"/>
      <c r="E54" s="351"/>
      <c r="F54" s="351"/>
      <c r="G54" s="351"/>
    </row>
    <row r="55" spans="1:7" s="302" customFormat="1">
      <c r="A55" s="351"/>
      <c r="B55" s="351"/>
      <c r="C55" s="351"/>
      <c r="D55" s="351"/>
      <c r="E55" s="351"/>
      <c r="F55" s="351"/>
      <c r="G55" s="351"/>
    </row>
    <row r="56" spans="1:7" s="302" customFormat="1">
      <c r="A56" s="351"/>
      <c r="B56" s="351"/>
      <c r="C56" s="351"/>
      <c r="D56" s="351"/>
      <c r="E56" s="351"/>
      <c r="F56" s="351"/>
      <c r="G56" s="351"/>
    </row>
    <row r="57" spans="1:7" s="302" customFormat="1">
      <c r="A57" s="351"/>
      <c r="B57" s="351"/>
      <c r="C57" s="351"/>
      <c r="D57" s="351"/>
      <c r="E57" s="351"/>
      <c r="F57" s="351"/>
      <c r="G57" s="351"/>
    </row>
    <row r="58" spans="1:7" s="302" customFormat="1">
      <c r="A58" s="351"/>
      <c r="B58" s="351"/>
      <c r="C58" s="351"/>
      <c r="D58" s="351"/>
      <c r="E58" s="351"/>
      <c r="F58" s="351"/>
      <c r="G58" s="351"/>
    </row>
    <row r="59" spans="1:7" s="302" customFormat="1">
      <c r="A59" s="351"/>
      <c r="B59" s="351"/>
      <c r="C59" s="351"/>
      <c r="D59" s="351"/>
      <c r="E59" s="351"/>
      <c r="F59" s="351"/>
      <c r="G59" s="351"/>
    </row>
    <row r="60" spans="1:7" s="302" customFormat="1">
      <c r="A60" s="351"/>
      <c r="B60" s="351"/>
      <c r="C60" s="351"/>
      <c r="D60" s="351"/>
      <c r="E60" s="351"/>
      <c r="F60" s="351"/>
      <c r="G60" s="351"/>
    </row>
    <row r="61" spans="1:7" s="302" customFormat="1">
      <c r="A61" s="351"/>
      <c r="B61" s="351"/>
      <c r="C61" s="351"/>
      <c r="D61" s="351"/>
      <c r="E61" s="351"/>
      <c r="F61" s="351"/>
      <c r="G61" s="351"/>
    </row>
    <row r="62" spans="1:7" s="302" customFormat="1">
      <c r="A62" s="351"/>
      <c r="B62" s="351"/>
      <c r="C62" s="351"/>
      <c r="D62" s="351"/>
      <c r="E62" s="351"/>
      <c r="F62" s="351"/>
      <c r="G62" s="351"/>
    </row>
    <row r="63" spans="1:7" s="302" customFormat="1">
      <c r="A63" s="351"/>
      <c r="B63" s="351"/>
      <c r="C63" s="351"/>
      <c r="D63" s="351"/>
      <c r="E63" s="351"/>
      <c r="F63" s="351"/>
      <c r="G63" s="351"/>
    </row>
    <row r="64" spans="1:7" s="302" customFormat="1">
      <c r="A64" s="351"/>
      <c r="B64" s="351"/>
      <c r="C64" s="351"/>
      <c r="D64" s="351"/>
      <c r="E64" s="351"/>
      <c r="F64" s="351"/>
      <c r="G64" s="351"/>
    </row>
    <row r="65" spans="1:7" s="302" customFormat="1">
      <c r="A65" s="351"/>
      <c r="B65" s="351"/>
      <c r="C65" s="351"/>
      <c r="D65" s="351"/>
      <c r="E65" s="351"/>
      <c r="F65" s="351"/>
      <c r="G65" s="351"/>
    </row>
    <row r="66" spans="1:7" s="302" customFormat="1">
      <c r="A66" s="351"/>
      <c r="B66" s="351"/>
      <c r="C66" s="351"/>
      <c r="D66" s="351"/>
      <c r="E66" s="351"/>
      <c r="F66" s="351"/>
      <c r="G66" s="351"/>
    </row>
    <row r="67" spans="1:7" s="302" customFormat="1">
      <c r="A67" s="351"/>
      <c r="B67" s="351"/>
      <c r="C67" s="351"/>
      <c r="D67" s="351"/>
      <c r="E67" s="351"/>
      <c r="F67" s="351"/>
      <c r="G67" s="351"/>
    </row>
    <row r="68" spans="1:7" s="302" customFormat="1">
      <c r="A68" s="342"/>
      <c r="B68" s="352" t="s">
        <v>21</v>
      </c>
      <c r="C68" s="352"/>
      <c r="D68" s="352"/>
      <c r="E68" s="352"/>
      <c r="F68" s="352"/>
      <c r="G68" s="352"/>
    </row>
    <row r="69" spans="1:7" s="302" customFormat="1">
      <c r="A69" s="342"/>
      <c r="B69" s="353"/>
      <c r="C69" s="353"/>
      <c r="D69" s="353"/>
      <c r="E69" s="353"/>
      <c r="F69" s="353"/>
      <c r="G69" s="353"/>
    </row>
    <row r="70" spans="1:7" s="302" customFormat="1">
      <c r="A70" s="342"/>
      <c r="B70" s="352" t="s">
        <v>22</v>
      </c>
      <c r="C70" s="352"/>
      <c r="D70" s="352"/>
      <c r="E70" s="352"/>
      <c r="F70" s="352"/>
      <c r="G70" s="352"/>
    </row>
    <row r="71" spans="1:7" s="302" customFormat="1">
      <c r="A71" s="342"/>
      <c r="B71" s="353"/>
      <c r="C71" s="353"/>
      <c r="D71" s="353"/>
      <c r="E71" s="353"/>
      <c r="F71" s="353"/>
      <c r="G71" s="353"/>
    </row>
    <row r="72" spans="1:7" s="302" customFormat="1">
      <c r="A72" s="342"/>
      <c r="B72" s="352" t="s">
        <v>23</v>
      </c>
      <c r="C72" s="352"/>
      <c r="D72" s="352"/>
      <c r="E72" s="352"/>
      <c r="F72" s="352"/>
      <c r="G72" s="352"/>
    </row>
    <row r="73" spans="1:7" s="302" customFormat="1">
      <c r="A73" s="342"/>
      <c r="B73" s="352" t="s">
        <v>24</v>
      </c>
      <c r="C73" s="352"/>
      <c r="D73" s="352"/>
      <c r="E73" s="352"/>
      <c r="F73" s="352"/>
      <c r="G73" s="352"/>
    </row>
    <row r="74" spans="1:7" s="303" customFormat="1">
      <c r="A74" s="346"/>
      <c r="B74" s="346"/>
      <c r="E74" s="333"/>
    </row>
    <row r="75" spans="1:7" s="101" customFormat="1">
      <c r="A75" s="290"/>
      <c r="B75" s="289"/>
      <c r="C75" s="63"/>
      <c r="E75" s="63"/>
    </row>
    <row r="76" spans="1:7" s="101" customFormat="1">
      <c r="A76" s="290"/>
      <c r="B76" s="289"/>
      <c r="C76" s="63"/>
      <c r="E76" s="63"/>
    </row>
    <row r="77" spans="1:7" s="101" customFormat="1">
      <c r="A77" s="290"/>
      <c r="B77" s="289"/>
      <c r="C77" s="63"/>
      <c r="E77" s="63"/>
    </row>
  </sheetData>
  <mergeCells count="50">
    <mergeCell ref="B39:G39"/>
    <mergeCell ref="F33:F34"/>
    <mergeCell ref="G33:G34"/>
    <mergeCell ref="H33:H34"/>
    <mergeCell ref="I33:I34"/>
    <mergeCell ref="J33:J34"/>
    <mergeCell ref="B35:C35"/>
    <mergeCell ref="H35:H37"/>
    <mergeCell ref="I35:I37"/>
    <mergeCell ref="J35:J37"/>
    <mergeCell ref="F35:F37"/>
    <mergeCell ref="G35:G37"/>
    <mergeCell ref="A33:A37"/>
    <mergeCell ref="B33:C34"/>
    <mergeCell ref="D33:D37"/>
    <mergeCell ref="E33:E37"/>
    <mergeCell ref="A29:A32"/>
    <mergeCell ref="B29:C30"/>
    <mergeCell ref="D29:D32"/>
    <mergeCell ref="E29:E32"/>
    <mergeCell ref="B31:C31"/>
    <mergeCell ref="A20:A28"/>
    <mergeCell ref="B20:C22"/>
    <mergeCell ref="D20:D28"/>
    <mergeCell ref="E20:E28"/>
    <mergeCell ref="B25:C25"/>
    <mergeCell ref="E9:E15"/>
    <mergeCell ref="B11:C11"/>
    <mergeCell ref="F14:F15"/>
    <mergeCell ref="J18:J19"/>
    <mergeCell ref="F18:F19"/>
    <mergeCell ref="B16:C17"/>
    <mergeCell ref="H18:H19"/>
    <mergeCell ref="I18:I19"/>
    <mergeCell ref="D16:D19"/>
    <mergeCell ref="E16:E19"/>
    <mergeCell ref="G18:G19"/>
    <mergeCell ref="A9:A15"/>
    <mergeCell ref="B9:C10"/>
    <mergeCell ref="D9:D15"/>
    <mergeCell ref="B18:C18"/>
    <mergeCell ref="A16:A19"/>
    <mergeCell ref="A2:I2"/>
    <mergeCell ref="B3:I4"/>
    <mergeCell ref="A5:I5"/>
    <mergeCell ref="A6:I6"/>
    <mergeCell ref="B8:C8"/>
    <mergeCell ref="D8:E8"/>
    <mergeCell ref="G8:H8"/>
    <mergeCell ref="I8:J8"/>
  </mergeCells>
  <phoneticPr fontId="4" type="noConversion"/>
  <pageMargins left="0.7" right="0.7" top="0.75" bottom="0.75" header="0.3" footer="0.3"/>
  <pageSetup paperSize="9" scale="70" orientation="portrait" r:id="rId1"/>
</worksheet>
</file>

<file path=xl/worksheets/sheet56.xml><?xml version="1.0" encoding="utf-8"?>
<worksheet xmlns="http://schemas.openxmlformats.org/spreadsheetml/2006/main" xmlns:r="http://schemas.openxmlformats.org/officeDocument/2006/relationships">
  <dimension ref="A1:IV93"/>
  <sheetViews>
    <sheetView workbookViewId="0">
      <selection activeCell="A2" sqref="A2:G2"/>
    </sheetView>
  </sheetViews>
  <sheetFormatPr defaultRowHeight="31.5" customHeight="1"/>
  <cols>
    <col min="1" max="1" width="7" style="289" bestFit="1" customWidth="1"/>
    <col min="2" max="2" width="22" style="289" customWidth="1"/>
    <col min="3" max="3" width="11.5703125" style="25" customWidth="1"/>
    <col min="4" max="4" width="40.42578125" style="25" customWidth="1"/>
    <col min="5" max="5" width="13.85546875" style="332" customWidth="1"/>
    <col min="6" max="6" width="14.5703125" style="25" bestFit="1" customWidth="1"/>
    <col min="7" max="7" width="16" style="25" customWidth="1"/>
    <col min="8" max="16384" width="9.140625" style="25"/>
  </cols>
  <sheetData>
    <row r="1" spans="1:7" ht="15.75" customHeight="1">
      <c r="A1" s="1131" t="s">
        <v>446</v>
      </c>
      <c r="B1" s="1131"/>
      <c r="C1" s="1131"/>
      <c r="D1" s="1131"/>
      <c r="E1" s="1131"/>
      <c r="F1" s="1131"/>
      <c r="G1" s="1131"/>
    </row>
    <row r="2" spans="1:7" ht="33.75" customHeight="1">
      <c r="A2" s="1131" t="s">
        <v>663</v>
      </c>
      <c r="B2" s="1131"/>
      <c r="C2" s="1131"/>
      <c r="D2" s="1131"/>
      <c r="E2" s="1131"/>
      <c r="F2" s="1131"/>
      <c r="G2" s="1131"/>
    </row>
    <row r="3" spans="1:7" ht="15.75"/>
    <row r="4" spans="1:7" ht="63">
      <c r="A4" s="287" t="s">
        <v>434</v>
      </c>
      <c r="B4" s="287" t="s">
        <v>338</v>
      </c>
      <c r="C4" s="287" t="s">
        <v>771</v>
      </c>
      <c r="D4" s="287" t="s">
        <v>333</v>
      </c>
      <c r="E4" s="287" t="s">
        <v>337</v>
      </c>
      <c r="F4" s="287" t="s">
        <v>770</v>
      </c>
      <c r="G4" s="5" t="s">
        <v>82</v>
      </c>
    </row>
    <row r="5" spans="1:7" ht="372" customHeight="1">
      <c r="A5" s="20">
        <v>1</v>
      </c>
      <c r="B5" s="304" t="s">
        <v>723</v>
      </c>
      <c r="C5" s="310"/>
      <c r="D5" s="381" t="s">
        <v>2197</v>
      </c>
      <c r="E5" s="310">
        <v>0.45</v>
      </c>
      <c r="F5" s="20"/>
      <c r="G5" s="286">
        <f>F5*E5</f>
        <v>0</v>
      </c>
    </row>
    <row r="6" spans="1:7" ht="38.25">
      <c r="A6" s="20"/>
      <c r="B6" s="304"/>
      <c r="C6" s="310"/>
      <c r="D6" s="682" t="s">
        <v>2198</v>
      </c>
      <c r="E6" s="310">
        <v>0.55000000000000004</v>
      </c>
      <c r="F6" s="20"/>
      <c r="G6" s="286">
        <f t="shared" ref="G6:G45" si="0">F6*E6</f>
        <v>0</v>
      </c>
    </row>
    <row r="7" spans="1:7" ht="15.75">
      <c r="A7" s="27"/>
      <c r="B7" s="28" t="s">
        <v>1982</v>
      </c>
      <c r="C7" s="29">
        <v>0.06</v>
      </c>
      <c r="D7" s="1021"/>
      <c r="E7" s="29">
        <f>SUM(E5:E6)</f>
        <v>1</v>
      </c>
      <c r="F7" s="27" t="s">
        <v>46</v>
      </c>
      <c r="G7" s="27">
        <f>SUM(G5:G6)*C7</f>
        <v>0</v>
      </c>
    </row>
    <row r="8" spans="1:7" ht="39">
      <c r="A8" s="20">
        <v>2</v>
      </c>
      <c r="B8" s="419" t="s">
        <v>664</v>
      </c>
      <c r="C8" s="20"/>
      <c r="D8" s="1022" t="s">
        <v>665</v>
      </c>
      <c r="E8" s="310">
        <v>0.17</v>
      </c>
      <c r="F8" s="323"/>
      <c r="G8" s="286">
        <f t="shared" si="0"/>
        <v>0</v>
      </c>
    </row>
    <row r="9" spans="1:7" ht="51">
      <c r="A9" s="20"/>
      <c r="B9" s="304"/>
      <c r="C9" s="20"/>
      <c r="D9" s="1022" t="s">
        <v>666</v>
      </c>
      <c r="E9" s="310">
        <v>0.23</v>
      </c>
      <c r="F9" s="323"/>
      <c r="G9" s="286">
        <f t="shared" si="0"/>
        <v>0</v>
      </c>
    </row>
    <row r="10" spans="1:7" ht="61.5" customHeight="1">
      <c r="A10" s="20"/>
      <c r="B10" s="304"/>
      <c r="C10" s="20"/>
      <c r="D10" s="1023" t="s">
        <v>667</v>
      </c>
      <c r="E10" s="310">
        <v>0.2</v>
      </c>
      <c r="F10" s="323"/>
      <c r="G10" s="286">
        <f t="shared" si="0"/>
        <v>0</v>
      </c>
    </row>
    <row r="11" spans="1:7" ht="63.75">
      <c r="A11" s="20"/>
      <c r="B11" s="20"/>
      <c r="C11" s="20"/>
      <c r="D11" s="1023" t="s">
        <v>668</v>
      </c>
      <c r="E11" s="310">
        <v>0.27</v>
      </c>
      <c r="F11" s="323"/>
      <c r="G11" s="286">
        <f t="shared" si="0"/>
        <v>0</v>
      </c>
    </row>
    <row r="12" spans="1:7" ht="38.25">
      <c r="A12" s="20"/>
      <c r="B12" s="20"/>
      <c r="C12" s="20"/>
      <c r="D12" s="1023" t="s">
        <v>669</v>
      </c>
      <c r="E12" s="310">
        <v>0.13</v>
      </c>
      <c r="F12" s="323"/>
      <c r="G12" s="286">
        <f t="shared" si="0"/>
        <v>0</v>
      </c>
    </row>
    <row r="13" spans="1:7" ht="15.75">
      <c r="A13" s="27"/>
      <c r="B13" s="28" t="s">
        <v>1982</v>
      </c>
      <c r="C13" s="29">
        <v>0.12</v>
      </c>
      <c r="D13" s="1021"/>
      <c r="E13" s="29">
        <f>SUM(E8:E12)</f>
        <v>1</v>
      </c>
      <c r="F13" s="27" t="s">
        <v>47</v>
      </c>
      <c r="G13" s="27">
        <f>SUM(G8:G12)*C13</f>
        <v>0</v>
      </c>
    </row>
    <row r="14" spans="1:7" ht="78.75">
      <c r="A14" s="20">
        <v>3</v>
      </c>
      <c r="B14" s="419" t="s">
        <v>670</v>
      </c>
      <c r="C14" s="310"/>
      <c r="D14" s="1023" t="s">
        <v>671</v>
      </c>
      <c r="E14" s="310">
        <v>0.1</v>
      </c>
      <c r="F14" s="323"/>
      <c r="G14" s="286">
        <f t="shared" si="0"/>
        <v>0</v>
      </c>
    </row>
    <row r="15" spans="1:7" ht="25.5">
      <c r="A15" s="20"/>
      <c r="B15" s="327"/>
      <c r="C15" s="310"/>
      <c r="D15" s="1023" t="s">
        <v>672</v>
      </c>
      <c r="E15" s="310">
        <v>0.19</v>
      </c>
      <c r="F15" s="323"/>
      <c r="G15" s="286">
        <f t="shared" si="0"/>
        <v>0</v>
      </c>
    </row>
    <row r="16" spans="1:7" ht="25.5">
      <c r="A16" s="20"/>
      <c r="B16" s="327"/>
      <c r="C16" s="310"/>
      <c r="D16" s="1023" t="s">
        <v>673</v>
      </c>
      <c r="E16" s="310">
        <v>0.14000000000000001</v>
      </c>
      <c r="F16" s="323"/>
      <c r="G16" s="286">
        <f t="shared" si="0"/>
        <v>0</v>
      </c>
    </row>
    <row r="17" spans="1:7" ht="25.5">
      <c r="A17" s="20"/>
      <c r="B17" s="327"/>
      <c r="C17" s="310"/>
      <c r="D17" s="1023" t="s">
        <v>674</v>
      </c>
      <c r="E17" s="310">
        <v>0.24</v>
      </c>
      <c r="F17" s="323"/>
      <c r="G17" s="286">
        <f t="shared" si="0"/>
        <v>0</v>
      </c>
    </row>
    <row r="18" spans="1:7" ht="25.5">
      <c r="A18" s="20"/>
      <c r="B18" s="327"/>
      <c r="C18" s="310"/>
      <c r="D18" s="1023" t="s">
        <v>675</v>
      </c>
      <c r="E18" s="310">
        <v>0.14000000000000001</v>
      </c>
      <c r="F18" s="323"/>
      <c r="G18" s="286">
        <f t="shared" si="0"/>
        <v>0</v>
      </c>
    </row>
    <row r="19" spans="1:7" ht="52.5" customHeight="1">
      <c r="A19" s="20"/>
      <c r="B19" s="327"/>
      <c r="C19" s="310"/>
      <c r="D19" s="1023" t="s">
        <v>676</v>
      </c>
      <c r="E19" s="310">
        <v>0.19</v>
      </c>
      <c r="F19" s="323"/>
      <c r="G19" s="286">
        <f t="shared" si="0"/>
        <v>0</v>
      </c>
    </row>
    <row r="20" spans="1:7" ht="15.75">
      <c r="A20" s="27"/>
      <c r="B20" s="28" t="s">
        <v>1982</v>
      </c>
      <c r="C20" s="29">
        <v>0.09</v>
      </c>
      <c r="D20" s="1021"/>
      <c r="E20" s="29">
        <f>SUM(E14:E19)</f>
        <v>1</v>
      </c>
      <c r="F20" s="27" t="s">
        <v>48</v>
      </c>
      <c r="G20" s="27">
        <f>SUM(G14:G19)*C20</f>
        <v>0</v>
      </c>
    </row>
    <row r="21" spans="1:7" ht="47.25">
      <c r="A21" s="20">
        <v>4</v>
      </c>
      <c r="B21" s="419" t="s">
        <v>677</v>
      </c>
      <c r="C21" s="310"/>
      <c r="D21" s="1023" t="s">
        <v>678</v>
      </c>
      <c r="E21" s="310">
        <v>0.6</v>
      </c>
      <c r="F21" s="323"/>
      <c r="G21" s="286">
        <f t="shared" si="0"/>
        <v>0</v>
      </c>
    </row>
    <row r="22" spans="1:7" ht="38.25">
      <c r="A22" s="20"/>
      <c r="B22" s="327"/>
      <c r="C22" s="310"/>
      <c r="D22" s="1023" t="s">
        <v>679</v>
      </c>
      <c r="E22" s="310">
        <v>0.3</v>
      </c>
      <c r="F22" s="323"/>
      <c r="G22" s="286">
        <f t="shared" si="0"/>
        <v>0</v>
      </c>
    </row>
    <row r="23" spans="1:7" ht="25.5">
      <c r="A23" s="20"/>
      <c r="B23" s="327"/>
      <c r="C23" s="310"/>
      <c r="D23" s="1023" t="s">
        <v>680</v>
      </c>
      <c r="E23" s="310">
        <v>0.1</v>
      </c>
      <c r="F23" s="323"/>
      <c r="G23" s="286">
        <f t="shared" si="0"/>
        <v>0</v>
      </c>
    </row>
    <row r="24" spans="1:7" ht="15.75">
      <c r="A24" s="27"/>
      <c r="B24" s="28" t="s">
        <v>1982</v>
      </c>
      <c r="C24" s="29">
        <v>0.11</v>
      </c>
      <c r="D24" s="1021"/>
      <c r="E24" s="29">
        <f>SUM(E21:E23)</f>
        <v>0.99999999999999989</v>
      </c>
      <c r="F24" s="27" t="s">
        <v>49</v>
      </c>
      <c r="G24" s="27">
        <f>SUM(G21:G23)*C24</f>
        <v>0</v>
      </c>
    </row>
    <row r="25" spans="1:7" ht="39">
      <c r="A25" s="20">
        <v>5</v>
      </c>
      <c r="B25" s="419" t="s">
        <v>681</v>
      </c>
      <c r="C25" s="310"/>
      <c r="D25" s="1022" t="s">
        <v>682</v>
      </c>
      <c r="E25" s="310">
        <v>0.4</v>
      </c>
      <c r="F25" s="323"/>
      <c r="G25" s="286">
        <f t="shared" si="0"/>
        <v>0</v>
      </c>
    </row>
    <row r="26" spans="1:7" ht="93" customHeight="1">
      <c r="A26" s="20"/>
      <c r="B26" s="304"/>
      <c r="C26" s="310"/>
      <c r="D26" s="1023" t="s">
        <v>683</v>
      </c>
      <c r="E26" s="310">
        <v>0.3</v>
      </c>
      <c r="F26" s="323"/>
      <c r="G26" s="286">
        <f t="shared" si="0"/>
        <v>0</v>
      </c>
    </row>
    <row r="27" spans="1:7" ht="38.25">
      <c r="A27" s="20"/>
      <c r="B27" s="327"/>
      <c r="C27" s="310"/>
      <c r="D27" s="1023" t="s">
        <v>684</v>
      </c>
      <c r="E27" s="310">
        <v>0.1</v>
      </c>
      <c r="F27" s="323"/>
      <c r="G27" s="286">
        <f t="shared" si="0"/>
        <v>0</v>
      </c>
    </row>
    <row r="28" spans="1:7" ht="38.25">
      <c r="A28" s="20"/>
      <c r="B28" s="327"/>
      <c r="C28" s="310"/>
      <c r="D28" s="1023" t="s">
        <v>685</v>
      </c>
      <c r="E28" s="310">
        <v>0.2</v>
      </c>
      <c r="F28" s="323"/>
      <c r="G28" s="286">
        <f t="shared" si="0"/>
        <v>0</v>
      </c>
    </row>
    <row r="29" spans="1:7" ht="15.75">
      <c r="A29" s="27"/>
      <c r="B29" s="28" t="s">
        <v>1982</v>
      </c>
      <c r="C29" s="29">
        <v>0.13</v>
      </c>
      <c r="D29" s="1021"/>
      <c r="E29" s="29">
        <f>SUM(E25:E28)</f>
        <v>1</v>
      </c>
      <c r="F29" s="27" t="s">
        <v>50</v>
      </c>
      <c r="G29" s="27">
        <f>SUM(G25:G28)*C29</f>
        <v>0</v>
      </c>
    </row>
    <row r="30" spans="1:7" ht="63">
      <c r="A30" s="20">
        <v>6</v>
      </c>
      <c r="B30" s="673" t="s">
        <v>686</v>
      </c>
      <c r="C30" s="310"/>
      <c r="D30" s="1023" t="s">
        <v>687</v>
      </c>
      <c r="E30" s="310">
        <v>0.1</v>
      </c>
      <c r="F30" s="1"/>
      <c r="G30" s="286">
        <f t="shared" si="0"/>
        <v>0</v>
      </c>
    </row>
    <row r="31" spans="1:7" ht="51">
      <c r="A31" s="20"/>
      <c r="B31" s="327"/>
      <c r="C31" s="310"/>
      <c r="D31" s="1023" t="s">
        <v>688</v>
      </c>
      <c r="E31" s="310">
        <v>0.2</v>
      </c>
      <c r="F31" s="1"/>
      <c r="G31" s="286">
        <f t="shared" si="0"/>
        <v>0</v>
      </c>
    </row>
    <row r="32" spans="1:7" ht="51">
      <c r="A32" s="20"/>
      <c r="B32" s="327"/>
      <c r="C32" s="310"/>
      <c r="D32" s="1023" t="s">
        <v>689</v>
      </c>
      <c r="E32" s="310">
        <v>0.4</v>
      </c>
      <c r="F32" s="1"/>
      <c r="G32" s="286">
        <f t="shared" si="0"/>
        <v>0</v>
      </c>
    </row>
    <row r="33" spans="1:8" ht="38.25">
      <c r="A33" s="20"/>
      <c r="B33" s="327"/>
      <c r="C33" s="310"/>
      <c r="D33" s="1023" t="s">
        <v>690</v>
      </c>
      <c r="E33" s="310">
        <v>0.3</v>
      </c>
      <c r="F33" s="1"/>
      <c r="G33" s="286">
        <f t="shared" si="0"/>
        <v>0</v>
      </c>
    </row>
    <row r="34" spans="1:8" ht="15.75">
      <c r="A34" s="27"/>
      <c r="B34" s="28" t="s">
        <v>1982</v>
      </c>
      <c r="C34" s="29">
        <v>0.09</v>
      </c>
      <c r="D34" s="1021"/>
      <c r="E34" s="29">
        <f>SUM(E30:E33)</f>
        <v>1</v>
      </c>
      <c r="F34" s="27" t="s">
        <v>51</v>
      </c>
      <c r="G34" s="27">
        <f>SUM(G30:G33)*C34</f>
        <v>0</v>
      </c>
    </row>
    <row r="35" spans="1:8" ht="62.25" customHeight="1">
      <c r="A35" s="20">
        <v>7</v>
      </c>
      <c r="B35" s="419" t="s">
        <v>691</v>
      </c>
      <c r="C35" s="310"/>
      <c r="D35" s="1023" t="s">
        <v>692</v>
      </c>
      <c r="E35" s="310">
        <v>0.2</v>
      </c>
      <c r="F35" s="1"/>
      <c r="G35" s="286">
        <f t="shared" si="0"/>
        <v>0</v>
      </c>
    </row>
    <row r="36" spans="1:8" ht="38.25">
      <c r="A36" s="20"/>
      <c r="B36" s="304"/>
      <c r="C36" s="310"/>
      <c r="D36" s="1023" t="s">
        <v>693</v>
      </c>
      <c r="E36" s="310">
        <v>0.3</v>
      </c>
      <c r="F36" s="1"/>
      <c r="G36" s="286">
        <f t="shared" si="0"/>
        <v>0</v>
      </c>
    </row>
    <row r="37" spans="1:8" ht="38.25">
      <c r="A37" s="20"/>
      <c r="B37" s="304"/>
      <c r="C37" s="310"/>
      <c r="D37" s="1023" t="s">
        <v>694</v>
      </c>
      <c r="E37" s="310">
        <v>0.4</v>
      </c>
      <c r="F37" s="1"/>
      <c r="G37" s="286">
        <f t="shared" si="0"/>
        <v>0</v>
      </c>
    </row>
    <row r="38" spans="1:8" ht="49.5" customHeight="1">
      <c r="A38" s="20"/>
      <c r="B38" s="304"/>
      <c r="C38" s="310"/>
      <c r="D38" s="1023" t="s">
        <v>695</v>
      </c>
      <c r="E38" s="310">
        <v>0.1</v>
      </c>
      <c r="F38" s="1"/>
      <c r="G38" s="286">
        <f t="shared" si="0"/>
        <v>0</v>
      </c>
      <c r="H38" s="332"/>
    </row>
    <row r="39" spans="1:8" ht="16.5" thickBot="1">
      <c r="A39" s="27"/>
      <c r="B39" s="28" t="s">
        <v>1982</v>
      </c>
      <c r="C39" s="29">
        <v>0.19</v>
      </c>
      <c r="D39" s="1021"/>
      <c r="E39" s="29">
        <f>SUM(E35:E38)</f>
        <v>1</v>
      </c>
      <c r="F39" s="27" t="s">
        <v>52</v>
      </c>
      <c r="G39" s="27">
        <f>SUM(G35:G38)*C39</f>
        <v>0</v>
      </c>
      <c r="H39" s="332"/>
    </row>
    <row r="40" spans="1:8" ht="48" thickBot="1">
      <c r="A40" s="20">
        <v>8</v>
      </c>
      <c r="B40" s="1024" t="s">
        <v>696</v>
      </c>
      <c r="C40" s="383"/>
      <c r="D40" s="1023" t="s">
        <v>697</v>
      </c>
      <c r="E40" s="310">
        <v>0.17</v>
      </c>
      <c r="F40" s="323"/>
      <c r="G40" s="286">
        <f t="shared" si="0"/>
        <v>0</v>
      </c>
      <c r="H40" s="332"/>
    </row>
    <row r="41" spans="1:8" ht="27.75" customHeight="1">
      <c r="A41" s="20"/>
      <c r="B41" s="382"/>
      <c r="C41" s="383"/>
      <c r="D41" s="1022" t="s">
        <v>698</v>
      </c>
      <c r="E41" s="310">
        <v>0.33</v>
      </c>
      <c r="F41" s="323"/>
      <c r="G41" s="286">
        <f t="shared" si="0"/>
        <v>0</v>
      </c>
      <c r="H41" s="332"/>
    </row>
    <row r="42" spans="1:8" ht="38.25">
      <c r="A42" s="20"/>
      <c r="B42" s="382"/>
      <c r="C42" s="383"/>
      <c r="D42" s="1023" t="s">
        <v>699</v>
      </c>
      <c r="E42" s="310">
        <v>0.5</v>
      </c>
      <c r="F42" s="323"/>
      <c r="G42" s="286">
        <f t="shared" si="0"/>
        <v>0</v>
      </c>
      <c r="H42" s="332"/>
    </row>
    <row r="43" spans="1:8" ht="15.75">
      <c r="A43" s="27"/>
      <c r="B43" s="28" t="s">
        <v>1982</v>
      </c>
      <c r="C43" s="29">
        <v>0.17</v>
      </c>
      <c r="D43" s="1021"/>
      <c r="E43" s="29">
        <f>SUM(E40:E42)</f>
        <v>1</v>
      </c>
      <c r="F43" s="27" t="s">
        <v>53</v>
      </c>
      <c r="G43" s="27">
        <f>SUM(G40:G42)*C43</f>
        <v>0</v>
      </c>
      <c r="H43" s="332"/>
    </row>
    <row r="44" spans="1:8" ht="51.75">
      <c r="A44" s="20">
        <v>9</v>
      </c>
      <c r="B44" s="673" t="s">
        <v>1398</v>
      </c>
      <c r="C44" s="310"/>
      <c r="D44" s="1025" t="s">
        <v>1399</v>
      </c>
      <c r="E44" s="310">
        <v>0.3</v>
      </c>
      <c r="F44" s="1"/>
      <c r="G44" s="286">
        <f t="shared" si="0"/>
        <v>0</v>
      </c>
    </row>
    <row r="45" spans="1:8" ht="51">
      <c r="A45" s="20"/>
      <c r="B45" s="304"/>
      <c r="C45" s="310"/>
      <c r="D45" s="1023" t="s">
        <v>1400</v>
      </c>
      <c r="E45" s="310">
        <v>0.7</v>
      </c>
      <c r="F45" s="1"/>
      <c r="G45" s="286">
        <f t="shared" si="0"/>
        <v>0</v>
      </c>
    </row>
    <row r="46" spans="1:8" ht="15.75">
      <c r="A46" s="27"/>
      <c r="B46" s="28" t="s">
        <v>1982</v>
      </c>
      <c r="C46" s="29">
        <v>0.04</v>
      </c>
      <c r="D46" s="45"/>
      <c r="E46" s="29">
        <v>1</v>
      </c>
      <c r="F46" s="27" t="s">
        <v>54</v>
      </c>
      <c r="G46" s="27">
        <f>SUM(G44:G45)*C46</f>
        <v>0</v>
      </c>
    </row>
    <row r="47" spans="1:8" ht="15.75">
      <c r="A47" s="36"/>
      <c r="B47" s="37" t="s">
        <v>443</v>
      </c>
      <c r="C47" s="39">
        <f>SUBTOTAL(9,C7,C13,C20,C24,C29,C34,C39,C43,C46)</f>
        <v>1</v>
      </c>
      <c r="D47" s="37"/>
      <c r="E47" s="39">
        <v>9</v>
      </c>
      <c r="F47" s="38"/>
      <c r="G47" s="246">
        <f>SUBTOTAL(9,G7,G13,G20,G24,G29,G34,G39,G43,G46)</f>
        <v>0</v>
      </c>
    </row>
    <row r="48" spans="1:8" ht="15.75">
      <c r="A48" s="26"/>
      <c r="B48" s="26" t="s">
        <v>444</v>
      </c>
      <c r="C48" s="10"/>
      <c r="D48" s="10"/>
      <c r="E48" s="11"/>
      <c r="F48" s="3"/>
      <c r="G48" s="21" t="str">
        <f>IF(G47&lt;=0.5,"низький",IF(G47&lt;=0.65,"середній",(IF(G47&lt;=0.85,"достатній",(IF(G47&lt;=1,"високий"))))))</f>
        <v>низький</v>
      </c>
    </row>
    <row r="49" spans="1:256" ht="15.75">
      <c r="A49" s="288" t="s">
        <v>182</v>
      </c>
      <c r="C49" s="59"/>
      <c r="E49" s="642"/>
      <c r="F49" s="643"/>
      <c r="G49" s="112"/>
    </row>
    <row r="50" spans="1:256" ht="17.25">
      <c r="A50" s="288" t="s">
        <v>589</v>
      </c>
      <c r="C50" s="59"/>
      <c r="E50" s="642"/>
      <c r="F50" s="643"/>
      <c r="G50" s="112"/>
    </row>
    <row r="51" spans="1:256" ht="17.25">
      <c r="A51" s="288" t="s">
        <v>590</v>
      </c>
      <c r="C51" s="59"/>
      <c r="E51" s="642"/>
      <c r="F51" s="643"/>
      <c r="G51" s="112"/>
    </row>
    <row r="52" spans="1:256" ht="17.25">
      <c r="A52" s="288" t="s">
        <v>591</v>
      </c>
      <c r="C52" s="59"/>
      <c r="E52" s="642"/>
      <c r="F52" s="643"/>
      <c r="G52" s="112"/>
    </row>
    <row r="53" spans="1:256" ht="17.25">
      <c r="A53" s="288" t="s">
        <v>592</v>
      </c>
      <c r="C53" s="59"/>
      <c r="E53" s="642"/>
      <c r="F53" s="643"/>
      <c r="G53" s="112"/>
    </row>
    <row r="54" spans="1:256" ht="17.25">
      <c r="A54" s="288" t="s">
        <v>593</v>
      </c>
      <c r="C54" s="59"/>
      <c r="E54" s="642"/>
      <c r="F54" s="643"/>
      <c r="G54" s="112"/>
    </row>
    <row r="55" spans="1:256" ht="17.25">
      <c r="A55" s="288" t="s">
        <v>594</v>
      </c>
      <c r="C55" s="59"/>
      <c r="E55" s="642"/>
      <c r="F55" s="643"/>
      <c r="G55" s="112"/>
    </row>
    <row r="56" spans="1:256" s="302" customFormat="1" ht="17.25">
      <c r="A56" s="288" t="s">
        <v>595</v>
      </c>
      <c r="B56" s="289"/>
      <c r="C56" s="59"/>
      <c r="D56" s="25"/>
      <c r="E56" s="642"/>
      <c r="F56" s="643"/>
      <c r="G56" s="112"/>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c r="IT56" s="25"/>
      <c r="IU56" s="25"/>
      <c r="IV56" s="25"/>
    </row>
    <row r="57" spans="1:256" s="302" customFormat="1" ht="15.75">
      <c r="A57" s="644" t="s">
        <v>596</v>
      </c>
      <c r="B57" s="289"/>
      <c r="C57" s="59"/>
      <c r="D57" s="25"/>
      <c r="E57" s="642"/>
      <c r="F57" s="643"/>
      <c r="G57" s="112"/>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c r="IS57" s="25"/>
      <c r="IT57" s="25"/>
      <c r="IU57" s="25"/>
      <c r="IV57" s="25"/>
    </row>
    <row r="58" spans="1:256" s="302" customFormat="1" ht="15.75">
      <c r="A58" s="288" t="s">
        <v>597</v>
      </c>
      <c r="B58" s="289"/>
      <c r="C58" s="59"/>
      <c r="D58" s="25"/>
      <c r="E58" s="642"/>
      <c r="F58" s="643"/>
      <c r="G58" s="112"/>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row>
    <row r="59" spans="1:256" s="302" customFormat="1" ht="15.75">
      <c r="A59" s="288" t="s">
        <v>2194</v>
      </c>
      <c r="B59" s="289"/>
      <c r="C59" s="59"/>
      <c r="D59" s="25"/>
      <c r="E59" s="642"/>
      <c r="F59" s="643"/>
      <c r="G59" s="112"/>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row>
    <row r="60" spans="1:256" s="302" customFormat="1" ht="15.75">
      <c r="A60" s="288" t="s">
        <v>2195</v>
      </c>
      <c r="B60" s="289"/>
      <c r="C60" s="59"/>
      <c r="D60" s="25"/>
      <c r="E60" s="642"/>
      <c r="F60" s="643"/>
      <c r="G60" s="112"/>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row>
    <row r="61" spans="1:256" s="302" customFormat="1" ht="15.75">
      <c r="A61" s="288" t="s">
        <v>2196</v>
      </c>
      <c r="B61" s="289"/>
      <c r="C61" s="59"/>
      <c r="D61" s="25"/>
      <c r="E61" s="642"/>
      <c r="F61" s="643"/>
      <c r="G61" s="112"/>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row>
    <row r="62" spans="1:256" s="302" customFormat="1" ht="15.75">
      <c r="A62" s="59"/>
      <c r="B62" s="59" t="s">
        <v>20</v>
      </c>
      <c r="C62" s="59"/>
      <c r="D62" s="59"/>
      <c r="E62" s="59"/>
      <c r="F62" s="59"/>
      <c r="G62" s="59"/>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row>
    <row r="63" spans="1:256" s="302" customFormat="1" ht="15.75">
      <c r="A63" s="645"/>
      <c r="B63" s="645"/>
      <c r="C63" s="645"/>
      <c r="D63" s="645"/>
      <c r="E63" s="645"/>
      <c r="F63" s="645"/>
      <c r="G63" s="64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row>
    <row r="64" spans="1:256" s="302" customFormat="1" ht="15.75">
      <c r="A64" s="645"/>
      <c r="B64" s="645"/>
      <c r="C64" s="645"/>
      <c r="D64" s="645"/>
      <c r="E64" s="645"/>
      <c r="F64" s="645"/>
      <c r="G64" s="64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row>
    <row r="65" spans="1:256" s="302" customFormat="1" ht="15.75">
      <c r="A65" s="645"/>
      <c r="B65" s="645"/>
      <c r="C65" s="645"/>
      <c r="D65" s="645"/>
      <c r="E65" s="645"/>
      <c r="F65" s="645"/>
      <c r="G65" s="64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row>
    <row r="66" spans="1:256" s="302" customFormat="1" ht="15.75">
      <c r="A66" s="645"/>
      <c r="B66" s="645"/>
      <c r="C66" s="645"/>
      <c r="D66" s="645"/>
      <c r="E66" s="645"/>
      <c r="F66" s="645"/>
      <c r="G66" s="64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row>
    <row r="67" spans="1:256" s="302" customFormat="1" ht="15.75">
      <c r="A67" s="645"/>
      <c r="B67" s="645"/>
      <c r="C67" s="645"/>
      <c r="D67" s="645"/>
      <c r="E67" s="645"/>
      <c r="F67" s="645"/>
      <c r="G67" s="64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row>
    <row r="68" spans="1:256" s="302" customFormat="1" ht="15.75">
      <c r="A68" s="645"/>
      <c r="B68" s="645"/>
      <c r="C68" s="645"/>
      <c r="D68" s="645"/>
      <c r="E68" s="645"/>
      <c r="F68" s="645"/>
      <c r="G68" s="64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row>
    <row r="69" spans="1:256" s="302" customFormat="1" ht="15.75">
      <c r="A69" s="645"/>
      <c r="B69" s="645"/>
      <c r="C69" s="645"/>
      <c r="D69" s="645"/>
      <c r="E69" s="645"/>
      <c r="F69" s="645"/>
      <c r="G69" s="64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row>
    <row r="70" spans="1:256" s="302" customFormat="1" ht="15.75">
      <c r="A70" s="645"/>
      <c r="B70" s="645"/>
      <c r="C70" s="645"/>
      <c r="D70" s="645"/>
      <c r="E70" s="645"/>
      <c r="F70" s="645"/>
      <c r="G70" s="64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c r="HP70" s="25"/>
      <c r="HQ70" s="25"/>
      <c r="HR70" s="25"/>
      <c r="HS70" s="25"/>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25"/>
      <c r="IV70" s="25"/>
    </row>
    <row r="71" spans="1:256" s="302" customFormat="1" ht="15.75">
      <c r="A71" s="645"/>
      <c r="B71" s="645"/>
      <c r="C71" s="645"/>
      <c r="D71" s="645"/>
      <c r="E71" s="645"/>
      <c r="F71" s="645"/>
      <c r="G71" s="64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c r="GG71" s="25"/>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c r="HI71" s="25"/>
      <c r="HJ71" s="25"/>
      <c r="HK71" s="25"/>
      <c r="HL71" s="25"/>
      <c r="HM71" s="25"/>
      <c r="HN71" s="25"/>
      <c r="HO71" s="25"/>
      <c r="HP71" s="25"/>
      <c r="HQ71" s="25"/>
      <c r="HR71" s="25"/>
      <c r="HS71" s="25"/>
      <c r="HT71" s="25"/>
      <c r="HU71" s="25"/>
      <c r="HV71" s="25"/>
      <c r="HW71" s="25"/>
      <c r="HX71" s="25"/>
      <c r="HY71" s="25"/>
      <c r="HZ71" s="25"/>
      <c r="IA71" s="25"/>
      <c r="IB71" s="25"/>
      <c r="IC71" s="25"/>
      <c r="ID71" s="25"/>
      <c r="IE71" s="25"/>
      <c r="IF71" s="25"/>
      <c r="IG71" s="25"/>
      <c r="IH71" s="25"/>
      <c r="II71" s="25"/>
      <c r="IJ71" s="25"/>
      <c r="IK71" s="25"/>
      <c r="IL71" s="25"/>
      <c r="IM71" s="25"/>
      <c r="IN71" s="25"/>
      <c r="IO71" s="25"/>
      <c r="IP71" s="25"/>
      <c r="IQ71" s="25"/>
      <c r="IR71" s="25"/>
      <c r="IS71" s="25"/>
      <c r="IT71" s="25"/>
      <c r="IU71" s="25"/>
      <c r="IV71" s="25"/>
    </row>
    <row r="72" spans="1:256" s="302" customFormat="1" ht="15.75">
      <c r="A72" s="645"/>
      <c r="B72" s="645"/>
      <c r="C72" s="645"/>
      <c r="D72" s="645"/>
      <c r="E72" s="645"/>
      <c r="F72" s="645"/>
      <c r="G72" s="64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25"/>
      <c r="HS72" s="25"/>
      <c r="HT72" s="25"/>
      <c r="HU72" s="25"/>
      <c r="HV72" s="25"/>
      <c r="HW72" s="25"/>
      <c r="HX72" s="25"/>
      <c r="HY72" s="25"/>
      <c r="HZ72" s="25"/>
      <c r="IA72" s="25"/>
      <c r="IB72" s="25"/>
      <c r="IC72" s="25"/>
      <c r="ID72" s="25"/>
      <c r="IE72" s="25"/>
      <c r="IF72" s="25"/>
      <c r="IG72" s="25"/>
      <c r="IH72" s="25"/>
      <c r="II72" s="25"/>
      <c r="IJ72" s="25"/>
      <c r="IK72" s="25"/>
      <c r="IL72" s="25"/>
      <c r="IM72" s="25"/>
      <c r="IN72" s="25"/>
      <c r="IO72" s="25"/>
      <c r="IP72" s="25"/>
      <c r="IQ72" s="25"/>
      <c r="IR72" s="25"/>
      <c r="IS72" s="25"/>
      <c r="IT72" s="25"/>
      <c r="IU72" s="25"/>
      <c r="IV72" s="25"/>
    </row>
    <row r="73" spans="1:256" s="302" customFormat="1" ht="15.75">
      <c r="A73" s="645"/>
      <c r="B73" s="645"/>
      <c r="C73" s="645"/>
      <c r="D73" s="645"/>
      <c r="E73" s="645"/>
      <c r="F73" s="645"/>
      <c r="G73" s="64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row>
    <row r="74" spans="1:256" s="302" customFormat="1" ht="15.75">
      <c r="A74" s="645"/>
      <c r="B74" s="645"/>
      <c r="C74" s="645"/>
      <c r="D74" s="645"/>
      <c r="E74" s="645"/>
      <c r="F74" s="645"/>
      <c r="G74" s="64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row>
    <row r="75" spans="1:256" s="302" customFormat="1" ht="15.75">
      <c r="A75" s="645"/>
      <c r="B75" s="645"/>
      <c r="C75" s="645"/>
      <c r="D75" s="645"/>
      <c r="E75" s="645"/>
      <c r="F75" s="645"/>
      <c r="G75" s="64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row>
    <row r="76" spans="1:256" s="302" customFormat="1" ht="15.75">
      <c r="A76" s="645"/>
      <c r="B76" s="645"/>
      <c r="C76" s="645"/>
      <c r="D76" s="645"/>
      <c r="E76" s="645"/>
      <c r="F76" s="645"/>
      <c r="G76" s="64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row>
    <row r="77" spans="1:256" s="302" customFormat="1" ht="15.75">
      <c r="A77" s="59"/>
      <c r="B77" s="646" t="s">
        <v>2418</v>
      </c>
      <c r="C77" s="646"/>
      <c r="D77" s="646"/>
      <c r="E77" s="646"/>
      <c r="F77" s="646"/>
      <c r="G77" s="646"/>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row>
    <row r="78" spans="1:256" s="302" customFormat="1" ht="15.75">
      <c r="A78" s="59"/>
      <c r="B78" s="391"/>
      <c r="C78" s="391"/>
      <c r="D78" s="391"/>
      <c r="E78" s="391"/>
      <c r="F78" s="391"/>
      <c r="G78" s="391"/>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row>
    <row r="79" spans="1:256" s="302" customFormat="1" ht="15.75">
      <c r="A79" s="59"/>
      <c r="B79" s="646" t="s">
        <v>22</v>
      </c>
      <c r="C79" s="646"/>
      <c r="D79" s="646"/>
      <c r="E79" s="646"/>
      <c r="F79" s="646"/>
      <c r="G79" s="646"/>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row>
    <row r="80" spans="1:256" s="302" customFormat="1" ht="15.75">
      <c r="A80" s="59"/>
      <c r="B80" s="391"/>
      <c r="C80" s="391"/>
      <c r="D80" s="391"/>
      <c r="E80" s="391"/>
      <c r="F80" s="391"/>
      <c r="G80" s="391"/>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row>
    <row r="81" spans="1:256" s="302" customFormat="1" ht="15.75">
      <c r="A81" s="59"/>
      <c r="B81" s="646" t="s">
        <v>23</v>
      </c>
      <c r="C81" s="646"/>
      <c r="D81" s="646"/>
      <c r="E81" s="646"/>
      <c r="F81" s="646"/>
      <c r="G81" s="646"/>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row>
    <row r="82" spans="1:256" s="302" customFormat="1" ht="15.75">
      <c r="A82" s="59"/>
      <c r="B82" s="646" t="s">
        <v>24</v>
      </c>
      <c r="C82" s="646"/>
      <c r="D82" s="646"/>
      <c r="E82" s="646"/>
      <c r="F82" s="646"/>
      <c r="G82" s="646"/>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row>
    <row r="83" spans="1:256" s="302" customFormat="1" ht="15.75">
      <c r="A83" s="289"/>
      <c r="B83" s="289"/>
      <c r="C83" s="25"/>
      <c r="D83" s="25"/>
      <c r="E83" s="332"/>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row>
    <row r="84" spans="1:256" s="302" customFormat="1" ht="15.75">
      <c r="A84" s="289"/>
      <c r="B84" s="289"/>
      <c r="C84" s="25"/>
      <c r="D84" s="25"/>
      <c r="E84" s="332"/>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row>
    <row r="85" spans="1:256" s="302" customFormat="1" ht="15.75">
      <c r="A85" s="289"/>
      <c r="B85" s="289"/>
      <c r="C85" s="25"/>
      <c r="D85" s="25"/>
      <c r="E85" s="332"/>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c r="FT85" s="25"/>
      <c r="FU85" s="25"/>
      <c r="FV85" s="25"/>
      <c r="FW85" s="25"/>
      <c r="FX85" s="25"/>
      <c r="FY85" s="25"/>
      <c r="FZ85" s="25"/>
      <c r="GA85" s="25"/>
      <c r="GB85" s="25"/>
      <c r="GC85" s="25"/>
      <c r="GD85" s="25"/>
      <c r="GE85" s="25"/>
      <c r="GF85" s="25"/>
      <c r="GG85" s="25"/>
      <c r="GH85" s="25"/>
      <c r="GI85" s="25"/>
      <c r="GJ85" s="25"/>
      <c r="GK85" s="25"/>
      <c r="GL85" s="25"/>
      <c r="GM85" s="25"/>
      <c r="GN85" s="25"/>
      <c r="GO85" s="25"/>
      <c r="GP85" s="25"/>
      <c r="GQ85" s="25"/>
      <c r="GR85" s="25"/>
      <c r="GS85" s="25"/>
      <c r="GT85" s="25"/>
      <c r="GU85" s="25"/>
      <c r="GV85" s="25"/>
      <c r="GW85" s="25"/>
      <c r="GX85" s="25"/>
      <c r="GY85" s="25"/>
      <c r="GZ85" s="25"/>
      <c r="HA85" s="25"/>
      <c r="HB85" s="25"/>
      <c r="HC85" s="25"/>
      <c r="HD85" s="25"/>
      <c r="HE85" s="25"/>
      <c r="HF85" s="25"/>
      <c r="HG85" s="25"/>
      <c r="HH85" s="25"/>
      <c r="HI85" s="25"/>
      <c r="HJ85" s="25"/>
      <c r="HK85" s="25"/>
      <c r="HL85" s="25"/>
      <c r="HM85" s="25"/>
      <c r="HN85" s="25"/>
      <c r="HO85" s="25"/>
      <c r="HP85" s="25"/>
      <c r="HQ85" s="25"/>
      <c r="HR85" s="25"/>
      <c r="HS85" s="25"/>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25"/>
      <c r="IV85" s="25"/>
    </row>
    <row r="86" spans="1:256" s="302" customFormat="1" ht="15.75">
      <c r="A86" s="289"/>
      <c r="B86" s="289"/>
      <c r="C86" s="25"/>
      <c r="D86" s="25"/>
      <c r="E86" s="332"/>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c r="GF86" s="25"/>
      <c r="GG86" s="25"/>
      <c r="GH86" s="25"/>
      <c r="GI86" s="25"/>
      <c r="GJ86" s="25"/>
      <c r="GK86" s="25"/>
      <c r="GL86" s="25"/>
      <c r="GM86" s="25"/>
      <c r="GN86" s="25"/>
      <c r="GO86" s="25"/>
      <c r="GP86" s="25"/>
      <c r="GQ86" s="25"/>
      <c r="GR86" s="25"/>
      <c r="GS86" s="25"/>
      <c r="GT86" s="25"/>
      <c r="GU86" s="25"/>
      <c r="GV86" s="25"/>
      <c r="GW86" s="25"/>
      <c r="GX86" s="25"/>
      <c r="GY86" s="25"/>
      <c r="GZ86" s="25"/>
      <c r="HA86" s="25"/>
      <c r="HB86" s="25"/>
      <c r="HC86" s="25"/>
      <c r="HD86" s="25"/>
      <c r="HE86" s="25"/>
      <c r="HF86" s="25"/>
      <c r="HG86" s="25"/>
      <c r="HH86" s="25"/>
      <c r="HI86" s="25"/>
      <c r="HJ86" s="25"/>
      <c r="HK86" s="25"/>
      <c r="HL86" s="25"/>
      <c r="HM86" s="25"/>
      <c r="HN86" s="25"/>
      <c r="HO86" s="25"/>
      <c r="HP86" s="25"/>
      <c r="HQ86" s="25"/>
      <c r="HR86" s="25"/>
      <c r="HS86" s="25"/>
      <c r="HT86" s="25"/>
      <c r="HU86" s="25"/>
      <c r="HV86" s="25"/>
      <c r="HW86" s="25"/>
      <c r="HX86" s="25"/>
      <c r="HY86" s="25"/>
      <c r="HZ86" s="25"/>
      <c r="IA86" s="25"/>
      <c r="IB86" s="25"/>
      <c r="IC86" s="25"/>
      <c r="ID86" s="25"/>
      <c r="IE86" s="25"/>
      <c r="IF86" s="25"/>
      <c r="IG86" s="25"/>
      <c r="IH86" s="25"/>
      <c r="II86" s="25"/>
      <c r="IJ86" s="25"/>
      <c r="IK86" s="25"/>
      <c r="IL86" s="25"/>
      <c r="IM86" s="25"/>
      <c r="IN86" s="25"/>
      <c r="IO86" s="25"/>
      <c r="IP86" s="25"/>
      <c r="IQ86" s="25"/>
      <c r="IR86" s="25"/>
      <c r="IS86" s="25"/>
      <c r="IT86" s="25"/>
      <c r="IU86" s="25"/>
      <c r="IV86" s="25"/>
    </row>
    <row r="87" spans="1:256" s="302" customFormat="1" ht="15.75">
      <c r="A87" s="289"/>
      <c r="B87" s="289"/>
      <c r="C87" s="25"/>
      <c r="D87" s="25"/>
      <c r="E87" s="332"/>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c r="GF87" s="25"/>
      <c r="GG87" s="25"/>
      <c r="GH87" s="25"/>
      <c r="GI87" s="25"/>
      <c r="GJ87" s="25"/>
      <c r="GK87" s="25"/>
      <c r="GL87" s="25"/>
      <c r="GM87" s="25"/>
      <c r="GN87" s="25"/>
      <c r="GO87" s="25"/>
      <c r="GP87" s="25"/>
      <c r="GQ87" s="25"/>
      <c r="GR87" s="25"/>
      <c r="GS87" s="25"/>
      <c r="GT87" s="25"/>
      <c r="GU87" s="25"/>
      <c r="GV87" s="25"/>
      <c r="GW87" s="25"/>
      <c r="GX87" s="25"/>
      <c r="GY87" s="25"/>
      <c r="GZ87" s="25"/>
      <c r="HA87" s="25"/>
      <c r="HB87" s="25"/>
      <c r="HC87" s="25"/>
      <c r="HD87" s="25"/>
      <c r="HE87" s="25"/>
      <c r="HF87" s="25"/>
      <c r="HG87" s="25"/>
      <c r="HH87" s="25"/>
      <c r="HI87" s="25"/>
      <c r="HJ87" s="25"/>
      <c r="HK87" s="25"/>
      <c r="HL87" s="25"/>
      <c r="HM87" s="25"/>
      <c r="HN87" s="25"/>
      <c r="HO87" s="25"/>
      <c r="HP87" s="25"/>
      <c r="HQ87" s="25"/>
      <c r="HR87" s="25"/>
      <c r="HS87" s="25"/>
      <c r="HT87" s="25"/>
      <c r="HU87" s="25"/>
      <c r="HV87" s="25"/>
      <c r="HW87" s="25"/>
      <c r="HX87" s="25"/>
      <c r="HY87" s="25"/>
      <c r="HZ87" s="25"/>
      <c r="IA87" s="25"/>
      <c r="IB87" s="25"/>
      <c r="IC87" s="25"/>
      <c r="ID87" s="25"/>
      <c r="IE87" s="25"/>
      <c r="IF87" s="25"/>
      <c r="IG87" s="25"/>
      <c r="IH87" s="25"/>
      <c r="II87" s="25"/>
      <c r="IJ87" s="25"/>
      <c r="IK87" s="25"/>
      <c r="IL87" s="25"/>
      <c r="IM87" s="25"/>
      <c r="IN87" s="25"/>
      <c r="IO87" s="25"/>
      <c r="IP87" s="25"/>
      <c r="IQ87" s="25"/>
      <c r="IR87" s="25"/>
      <c r="IS87" s="25"/>
      <c r="IT87" s="25"/>
      <c r="IU87" s="25"/>
      <c r="IV87" s="25"/>
    </row>
    <row r="88" spans="1:256" s="302" customFormat="1" ht="15.75">
      <c r="A88" s="289"/>
      <c r="B88" s="289"/>
      <c r="C88" s="25"/>
      <c r="D88" s="25"/>
      <c r="E88" s="332"/>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row>
    <row r="89" spans="1:256" s="302" customFormat="1" ht="15.75">
      <c r="A89" s="289"/>
      <c r="B89" s="289"/>
      <c r="C89" s="25"/>
      <c r="D89" s="25"/>
      <c r="E89" s="332"/>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row>
    <row r="90" spans="1:256" s="303" customFormat="1" ht="15.75">
      <c r="A90" s="289"/>
      <c r="B90" s="289"/>
      <c r="C90" s="25"/>
      <c r="D90" s="25"/>
      <c r="E90" s="332"/>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row>
    <row r="91" spans="1:256" s="101" customFormat="1" ht="15.75">
      <c r="A91" s="289"/>
      <c r="B91" s="289"/>
      <c r="C91" s="25"/>
      <c r="D91" s="25"/>
      <c r="E91" s="332"/>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row>
    <row r="92" spans="1:256" s="101" customFormat="1" ht="15.75">
      <c r="A92" s="289"/>
      <c r="B92" s="289"/>
      <c r="C92" s="25"/>
      <c r="D92" s="25"/>
      <c r="E92" s="332"/>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row>
    <row r="93" spans="1:256" s="101" customFormat="1" ht="15.75">
      <c r="A93" s="289"/>
      <c r="B93" s="289"/>
      <c r="C93" s="25"/>
      <c r="D93" s="25"/>
      <c r="E93" s="332"/>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row>
  </sheetData>
  <mergeCells count="2">
    <mergeCell ref="A1:G1"/>
    <mergeCell ref="A2:G2"/>
  </mergeCells>
  <phoneticPr fontId="4" type="noConversion"/>
  <pageMargins left="0.7" right="0.7" top="0.75" bottom="0.75" header="0.3" footer="0.3"/>
  <pageSetup paperSize="9" scale="67" orientation="portrait" r:id="rId1"/>
</worksheet>
</file>

<file path=xl/worksheets/sheet57.xml><?xml version="1.0" encoding="utf-8"?>
<worksheet xmlns="http://schemas.openxmlformats.org/spreadsheetml/2006/main" xmlns:r="http://schemas.openxmlformats.org/officeDocument/2006/relationships">
  <dimension ref="A1:H85"/>
  <sheetViews>
    <sheetView workbookViewId="0">
      <selection activeCell="D3" sqref="D3"/>
    </sheetView>
  </sheetViews>
  <sheetFormatPr defaultRowHeight="15.75"/>
  <cols>
    <col min="1" max="1" width="7" style="289" bestFit="1" customWidth="1"/>
    <col min="2" max="2" width="22" style="289" customWidth="1"/>
    <col min="3" max="3" width="11.5703125" style="25" customWidth="1"/>
    <col min="4" max="4" width="40.42578125" style="25" customWidth="1"/>
    <col min="5" max="5" width="13.85546875" style="332" customWidth="1"/>
    <col min="6" max="6" width="14.5703125" style="25" bestFit="1" customWidth="1"/>
    <col min="7" max="7" width="16" style="25" customWidth="1"/>
    <col min="8" max="16384" width="9.140625" style="25"/>
  </cols>
  <sheetData>
    <row r="1" spans="1:7">
      <c r="A1" s="1131" t="s">
        <v>446</v>
      </c>
      <c r="B1" s="1131"/>
      <c r="C1" s="1131"/>
      <c r="D1" s="1131"/>
      <c r="E1" s="1131"/>
      <c r="F1" s="1131"/>
      <c r="G1" s="1131"/>
    </row>
    <row r="2" spans="1:7">
      <c r="A2" s="1131" t="s">
        <v>1945</v>
      </c>
      <c r="B2" s="1131"/>
      <c r="C2" s="1131"/>
      <c r="D2" s="1131"/>
      <c r="E2" s="1131"/>
      <c r="F2" s="1131"/>
      <c r="G2" s="1131"/>
    </row>
    <row r="4" spans="1:7" ht="63">
      <c r="A4" s="287" t="s">
        <v>434</v>
      </c>
      <c r="B4" s="287" t="s">
        <v>338</v>
      </c>
      <c r="C4" s="287" t="s">
        <v>771</v>
      </c>
      <c r="D4" s="287" t="s">
        <v>333</v>
      </c>
      <c r="E4" s="287" t="s">
        <v>337</v>
      </c>
      <c r="F4" s="287" t="s">
        <v>770</v>
      </c>
      <c r="G4" s="5" t="s">
        <v>82</v>
      </c>
    </row>
    <row r="5" spans="1:7" ht="409.5">
      <c r="A5" s="1501">
        <v>1</v>
      </c>
      <c r="B5" s="1513" t="s">
        <v>723</v>
      </c>
      <c r="C5" s="1315"/>
      <c r="D5" s="86" t="s">
        <v>1946</v>
      </c>
      <c r="E5" s="310">
        <v>0.45</v>
      </c>
      <c r="F5" s="20"/>
      <c r="G5" s="286">
        <f>F5*E5</f>
        <v>0</v>
      </c>
    </row>
    <row r="6" spans="1:7" ht="112.5">
      <c r="A6" s="1503"/>
      <c r="B6" s="1514"/>
      <c r="C6" s="1503"/>
      <c r="D6" s="219" t="s">
        <v>1947</v>
      </c>
      <c r="E6" s="310">
        <v>0.55000000000000004</v>
      </c>
      <c r="F6" s="20"/>
      <c r="G6" s="286">
        <f t="shared" ref="G6:G47" si="0">F6*E6</f>
        <v>0</v>
      </c>
    </row>
    <row r="7" spans="1:7">
      <c r="A7" s="27"/>
      <c r="B7" s="28" t="s">
        <v>1982</v>
      </c>
      <c r="C7" s="29">
        <v>0.05</v>
      </c>
      <c r="D7" s="45"/>
      <c r="E7" s="29">
        <f>SUM(E5:E6)</f>
        <v>1</v>
      </c>
      <c r="F7" s="27" t="s">
        <v>46</v>
      </c>
      <c r="G7" s="27">
        <f>SUM(G5:G6)*C7</f>
        <v>0</v>
      </c>
    </row>
    <row r="8" spans="1:7" ht="18.75">
      <c r="A8" s="1501">
        <v>2</v>
      </c>
      <c r="B8" s="1504" t="s">
        <v>1948</v>
      </c>
      <c r="C8" s="1501"/>
      <c r="D8" s="1015" t="s">
        <v>1949</v>
      </c>
      <c r="E8" s="310">
        <v>0.17</v>
      </c>
      <c r="F8" s="323"/>
      <c r="G8" s="286">
        <f t="shared" si="0"/>
        <v>0</v>
      </c>
    </row>
    <row r="9" spans="1:7" ht="18.75">
      <c r="A9" s="1502"/>
      <c r="B9" s="1505"/>
      <c r="C9" s="1502"/>
      <c r="D9" s="1015" t="s">
        <v>1950</v>
      </c>
      <c r="E9" s="310">
        <v>0.23</v>
      </c>
      <c r="F9" s="323"/>
      <c r="G9" s="286">
        <f t="shared" si="0"/>
        <v>0</v>
      </c>
    </row>
    <row r="10" spans="1:7" ht="37.5">
      <c r="A10" s="1502"/>
      <c r="B10" s="1505"/>
      <c r="C10" s="1502"/>
      <c r="D10" s="1016" t="s">
        <v>1951</v>
      </c>
      <c r="E10" s="310">
        <v>0.2</v>
      </c>
      <c r="F10" s="323"/>
      <c r="G10" s="286">
        <f t="shared" si="0"/>
        <v>0</v>
      </c>
    </row>
    <row r="11" spans="1:7" ht="56.25">
      <c r="A11" s="1502"/>
      <c r="B11" s="1505"/>
      <c r="C11" s="1502"/>
      <c r="D11" s="1016" t="s">
        <v>1952</v>
      </c>
      <c r="E11" s="310">
        <v>0.2</v>
      </c>
      <c r="F11" s="323"/>
      <c r="G11" s="286">
        <f t="shared" si="0"/>
        <v>0</v>
      </c>
    </row>
    <row r="12" spans="1:7" ht="37.5">
      <c r="A12" s="1503"/>
      <c r="B12" s="1506"/>
      <c r="C12" s="1503"/>
      <c r="D12" s="1017" t="s">
        <v>1953</v>
      </c>
      <c r="E12" s="310">
        <v>0.2</v>
      </c>
      <c r="F12" s="323"/>
      <c r="G12" s="286">
        <f t="shared" si="0"/>
        <v>0</v>
      </c>
    </row>
    <row r="13" spans="1:7">
      <c r="A13" s="27"/>
      <c r="B13" s="28" t="s">
        <v>1982</v>
      </c>
      <c r="C13" s="29">
        <v>0.16</v>
      </c>
      <c r="D13" s="45"/>
      <c r="E13" s="29">
        <f>SUM(E8:E12)</f>
        <v>1</v>
      </c>
      <c r="F13" s="27" t="s">
        <v>47</v>
      </c>
      <c r="G13" s="27">
        <f>SUM(G8:G12)*C13</f>
        <v>0</v>
      </c>
    </row>
    <row r="14" spans="1:7" ht="37.5">
      <c r="A14" s="1501">
        <v>3</v>
      </c>
      <c r="B14" s="1504" t="s">
        <v>700</v>
      </c>
      <c r="C14" s="1315"/>
      <c r="D14" s="1016" t="s">
        <v>1954</v>
      </c>
      <c r="E14" s="310">
        <v>0.25</v>
      </c>
      <c r="F14" s="323"/>
      <c r="G14" s="286">
        <f t="shared" si="0"/>
        <v>0</v>
      </c>
    </row>
    <row r="15" spans="1:7" ht="18.75">
      <c r="A15" s="1509"/>
      <c r="B15" s="1511"/>
      <c r="C15" s="1502"/>
      <c r="D15" s="1015" t="s">
        <v>1955</v>
      </c>
      <c r="E15" s="310">
        <v>0.25</v>
      </c>
      <c r="F15" s="323"/>
      <c r="G15" s="286">
        <f t="shared" si="0"/>
        <v>0</v>
      </c>
    </row>
    <row r="16" spans="1:7" ht="37.5">
      <c r="A16" s="1509"/>
      <c r="B16" s="1511"/>
      <c r="C16" s="1502"/>
      <c r="D16" s="1016" t="s">
        <v>1956</v>
      </c>
      <c r="E16" s="310">
        <v>0.25</v>
      </c>
      <c r="F16" s="323"/>
      <c r="G16" s="286">
        <f t="shared" si="0"/>
        <v>0</v>
      </c>
    </row>
    <row r="17" spans="1:7" ht="37.5">
      <c r="A17" s="1509"/>
      <c r="B17" s="1511"/>
      <c r="C17" s="1503"/>
      <c r="D17" s="1017" t="s">
        <v>1957</v>
      </c>
      <c r="E17" s="310">
        <v>0.25</v>
      </c>
      <c r="F17" s="323"/>
      <c r="G17" s="286">
        <f t="shared" si="0"/>
        <v>0</v>
      </c>
    </row>
    <row r="18" spans="1:7" ht="31.5">
      <c r="A18" s="1509"/>
      <c r="B18" s="1511"/>
      <c r="C18" s="310"/>
      <c r="D18" s="499" t="s">
        <v>675</v>
      </c>
      <c r="E18" s="310"/>
      <c r="F18" s="323"/>
      <c r="G18" s="286"/>
    </row>
    <row r="19" spans="1:7" ht="63">
      <c r="A19" s="1510"/>
      <c r="B19" s="1512"/>
      <c r="C19" s="310"/>
      <c r="D19" s="499" t="s">
        <v>676</v>
      </c>
      <c r="E19" s="310"/>
      <c r="F19" s="323"/>
      <c r="G19" s="286"/>
    </row>
    <row r="20" spans="1:7">
      <c r="A20" s="27"/>
      <c r="B20" s="28" t="s">
        <v>1982</v>
      </c>
      <c r="C20" s="29">
        <v>0.1</v>
      </c>
      <c r="D20" s="45"/>
      <c r="E20" s="29">
        <f>SUM(E14:E19)</f>
        <v>1</v>
      </c>
      <c r="F20" s="27" t="s">
        <v>48</v>
      </c>
      <c r="G20" s="27">
        <f>SUM(G14:G19)*C20</f>
        <v>0</v>
      </c>
    </row>
    <row r="21" spans="1:7" ht="37.5">
      <c r="A21" s="1501">
        <v>4</v>
      </c>
      <c r="B21" s="1504" t="s">
        <v>1958</v>
      </c>
      <c r="C21" s="1315"/>
      <c r="D21" s="1016" t="s">
        <v>1959</v>
      </c>
      <c r="E21" s="310">
        <v>0.3</v>
      </c>
      <c r="F21" s="323"/>
      <c r="G21" s="286">
        <f t="shared" si="0"/>
        <v>0</v>
      </c>
    </row>
    <row r="22" spans="1:7" ht="37.5">
      <c r="A22" s="1502"/>
      <c r="B22" s="1505"/>
      <c r="C22" s="1502"/>
      <c r="D22" s="1016" t="s">
        <v>1960</v>
      </c>
      <c r="E22" s="310">
        <v>0.2</v>
      </c>
      <c r="F22" s="323"/>
      <c r="G22" s="286">
        <f t="shared" si="0"/>
        <v>0</v>
      </c>
    </row>
    <row r="23" spans="1:7" ht="75">
      <c r="A23" s="1502"/>
      <c r="B23" s="1505"/>
      <c r="C23" s="1502"/>
      <c r="D23" s="1016" t="s">
        <v>1961</v>
      </c>
      <c r="E23" s="310">
        <v>0.1</v>
      </c>
      <c r="F23" s="323"/>
      <c r="G23" s="286">
        <f t="shared" si="0"/>
        <v>0</v>
      </c>
    </row>
    <row r="24" spans="1:7" ht="56.25">
      <c r="A24" s="1503"/>
      <c r="B24" s="1506"/>
      <c r="C24" s="1503"/>
      <c r="D24" s="1016" t="s">
        <v>1962</v>
      </c>
      <c r="E24" s="310">
        <v>0.4</v>
      </c>
      <c r="F24" s="323"/>
      <c r="G24" s="286"/>
    </row>
    <row r="25" spans="1:7">
      <c r="A25" s="27"/>
      <c r="B25" s="28" t="s">
        <v>1982</v>
      </c>
      <c r="C25" s="29">
        <v>0.1</v>
      </c>
      <c r="D25" s="45"/>
      <c r="E25" s="29">
        <f>SUM(E21:E24)</f>
        <v>1</v>
      </c>
      <c r="F25" s="27" t="s">
        <v>49</v>
      </c>
      <c r="G25" s="27">
        <f>SUM(G21:G23)*C25</f>
        <v>0</v>
      </c>
    </row>
    <row r="26" spans="1:7" ht="56.25">
      <c r="A26" s="1501">
        <v>5</v>
      </c>
      <c r="B26" s="1508" t="s">
        <v>1396</v>
      </c>
      <c r="C26" s="1315"/>
      <c r="D26" s="1018" t="s">
        <v>2175</v>
      </c>
      <c r="E26" s="310">
        <v>0.35</v>
      </c>
      <c r="F26" s="323"/>
      <c r="G26" s="286">
        <f t="shared" si="0"/>
        <v>0</v>
      </c>
    </row>
    <row r="27" spans="1:7" ht="56.25">
      <c r="A27" s="1502"/>
      <c r="B27" s="1505"/>
      <c r="C27" s="1502"/>
      <c r="D27" s="1018" t="s">
        <v>2176</v>
      </c>
      <c r="E27" s="310">
        <v>0.25</v>
      </c>
      <c r="F27" s="323"/>
      <c r="G27" s="286">
        <f t="shared" si="0"/>
        <v>0</v>
      </c>
    </row>
    <row r="28" spans="1:7" ht="75">
      <c r="A28" s="1503"/>
      <c r="B28" s="1506"/>
      <c r="C28" s="1503"/>
      <c r="D28" s="1019" t="s">
        <v>2177</v>
      </c>
      <c r="E28" s="310">
        <v>0.4</v>
      </c>
      <c r="F28" s="323"/>
      <c r="G28" s="286">
        <f t="shared" si="0"/>
        <v>0</v>
      </c>
    </row>
    <row r="29" spans="1:7">
      <c r="A29" s="27"/>
      <c r="B29" s="28" t="s">
        <v>1982</v>
      </c>
      <c r="C29" s="29">
        <v>0.1</v>
      </c>
      <c r="D29" s="45"/>
      <c r="E29" s="29">
        <f>SUM(E26:E28)</f>
        <v>1</v>
      </c>
      <c r="F29" s="27" t="s">
        <v>50</v>
      </c>
      <c r="G29" s="27">
        <f>SUM(G26:G28)*C29</f>
        <v>0</v>
      </c>
    </row>
    <row r="30" spans="1:7" ht="75">
      <c r="A30" s="1501">
        <v>6</v>
      </c>
      <c r="B30" s="1508" t="s">
        <v>1397</v>
      </c>
      <c r="C30" s="1315"/>
      <c r="D30" s="1018" t="s">
        <v>2178</v>
      </c>
      <c r="E30" s="310">
        <v>0.35</v>
      </c>
      <c r="F30" s="1"/>
      <c r="G30" s="286">
        <f t="shared" si="0"/>
        <v>0</v>
      </c>
    </row>
    <row r="31" spans="1:7" ht="75">
      <c r="A31" s="1502"/>
      <c r="B31" s="1505"/>
      <c r="C31" s="1502"/>
      <c r="D31" s="1018" t="s">
        <v>2179</v>
      </c>
      <c r="E31" s="310">
        <v>0.35</v>
      </c>
      <c r="F31" s="1"/>
      <c r="G31" s="286">
        <f t="shared" si="0"/>
        <v>0</v>
      </c>
    </row>
    <row r="32" spans="1:7" ht="131.25">
      <c r="A32" s="1502"/>
      <c r="B32" s="1505"/>
      <c r="C32" s="1503"/>
      <c r="D32" s="1019" t="s">
        <v>2180</v>
      </c>
      <c r="E32" s="310">
        <v>0.3</v>
      </c>
      <c r="F32" s="1"/>
      <c r="G32" s="286">
        <f t="shared" si="0"/>
        <v>0</v>
      </c>
    </row>
    <row r="33" spans="1:8" ht="47.25">
      <c r="A33" s="1503"/>
      <c r="B33" s="1506"/>
      <c r="C33" s="310"/>
      <c r="D33" s="499" t="s">
        <v>695</v>
      </c>
      <c r="E33" s="310"/>
      <c r="F33" s="1"/>
      <c r="G33" s="286">
        <f t="shared" si="0"/>
        <v>0</v>
      </c>
      <c r="H33" s="332"/>
    </row>
    <row r="34" spans="1:8">
      <c r="A34" s="27"/>
      <c r="B34" s="28" t="s">
        <v>1982</v>
      </c>
      <c r="C34" s="29">
        <v>0.16</v>
      </c>
      <c r="D34" s="45"/>
      <c r="E34" s="29">
        <f>SUM(E30:E33)</f>
        <v>1</v>
      </c>
      <c r="F34" s="27" t="s">
        <v>51</v>
      </c>
      <c r="G34" s="27">
        <f>SUM(G30:G33)*C34</f>
        <v>0</v>
      </c>
      <c r="H34" s="332"/>
    </row>
    <row r="35" spans="1:8" ht="56.25">
      <c r="A35" s="1501">
        <v>7</v>
      </c>
      <c r="B35" s="1504" t="s">
        <v>2181</v>
      </c>
      <c r="C35" s="383"/>
      <c r="D35" s="1017" t="s">
        <v>2182</v>
      </c>
      <c r="E35" s="310">
        <v>1</v>
      </c>
      <c r="F35" s="323"/>
      <c r="G35" s="286">
        <f t="shared" si="0"/>
        <v>0</v>
      </c>
      <c r="H35" s="332"/>
    </row>
    <row r="36" spans="1:8" ht="37.5">
      <c r="A36" s="1502"/>
      <c r="B36" s="1505"/>
      <c r="C36" s="383"/>
      <c r="D36" s="1016" t="s">
        <v>2183</v>
      </c>
      <c r="E36" s="310"/>
      <c r="F36" s="323"/>
      <c r="G36" s="286">
        <f t="shared" si="0"/>
        <v>0</v>
      </c>
      <c r="H36" s="332"/>
    </row>
    <row r="37" spans="1:8" ht="37.5">
      <c r="A37" s="1502"/>
      <c r="B37" s="1505"/>
      <c r="C37" s="383"/>
      <c r="D37" s="1016" t="s">
        <v>2184</v>
      </c>
      <c r="E37" s="310"/>
      <c r="F37" s="323"/>
      <c r="G37" s="286">
        <f t="shared" si="0"/>
        <v>0</v>
      </c>
      <c r="H37" s="332"/>
    </row>
    <row r="38" spans="1:8" ht="56.25">
      <c r="A38" s="1503"/>
      <c r="B38" s="1506"/>
      <c r="C38" s="383"/>
      <c r="D38" s="1017" t="s">
        <v>2185</v>
      </c>
      <c r="E38" s="310"/>
      <c r="F38" s="323"/>
      <c r="G38" s="286">
        <f t="shared" si="0"/>
        <v>0</v>
      </c>
      <c r="H38" s="332"/>
    </row>
    <row r="39" spans="1:8">
      <c r="A39" s="27"/>
      <c r="B39" s="28" t="s">
        <v>1982</v>
      </c>
      <c r="C39" s="29">
        <v>7.0000000000000007E-2</v>
      </c>
      <c r="D39" s="45"/>
      <c r="E39" s="29">
        <f>SUM(E35:E38)</f>
        <v>1</v>
      </c>
      <c r="F39" s="27" t="s">
        <v>52</v>
      </c>
      <c r="G39" s="27">
        <f>SUM(G35:G37)*C39</f>
        <v>0</v>
      </c>
      <c r="H39" s="332"/>
    </row>
    <row r="40" spans="1:8" ht="37.5">
      <c r="A40" s="1501">
        <v>8</v>
      </c>
      <c r="B40" s="1504" t="s">
        <v>2186</v>
      </c>
      <c r="C40" s="1507"/>
      <c r="D40" s="1016" t="s">
        <v>2187</v>
      </c>
      <c r="E40" s="310">
        <v>0.25</v>
      </c>
      <c r="F40" s="323"/>
      <c r="G40" s="286">
        <f t="shared" si="0"/>
        <v>0</v>
      </c>
      <c r="H40" s="332"/>
    </row>
    <row r="41" spans="1:8" ht="37.5">
      <c r="A41" s="1502"/>
      <c r="B41" s="1505"/>
      <c r="C41" s="1502"/>
      <c r="D41" s="1016" t="s">
        <v>2183</v>
      </c>
      <c r="E41" s="310">
        <v>0.25</v>
      </c>
      <c r="F41" s="323"/>
      <c r="G41" s="286">
        <f t="shared" si="0"/>
        <v>0</v>
      </c>
      <c r="H41" s="332"/>
    </row>
    <row r="42" spans="1:8" ht="37.5">
      <c r="A42" s="1502"/>
      <c r="B42" s="1505"/>
      <c r="C42" s="1502"/>
      <c r="D42" s="1016" t="s">
        <v>2184</v>
      </c>
      <c r="E42" s="310">
        <v>0.25</v>
      </c>
      <c r="F42" s="323"/>
      <c r="G42" s="286">
        <f t="shared" si="0"/>
        <v>0</v>
      </c>
      <c r="H42" s="332"/>
    </row>
    <row r="43" spans="1:8" ht="75">
      <c r="A43" s="1503"/>
      <c r="B43" s="1506"/>
      <c r="C43" s="1503"/>
      <c r="D43" s="1017" t="s">
        <v>2188</v>
      </c>
      <c r="E43" s="310">
        <v>0.25</v>
      </c>
      <c r="F43" s="323"/>
      <c r="G43" s="286">
        <f t="shared" si="0"/>
        <v>0</v>
      </c>
      <c r="H43" s="332"/>
    </row>
    <row r="44" spans="1:8">
      <c r="A44" s="27"/>
      <c r="B44" s="28" t="s">
        <v>1982</v>
      </c>
      <c r="C44" s="29">
        <v>0.1</v>
      </c>
      <c r="D44" s="45"/>
      <c r="E44" s="29">
        <f>SUM(E40:E43)</f>
        <v>1</v>
      </c>
      <c r="F44" s="27" t="s">
        <v>53</v>
      </c>
      <c r="G44" s="27">
        <f>SUM(G40:G43)*C44</f>
        <v>0</v>
      </c>
    </row>
    <row r="45" spans="1:8" ht="37.5">
      <c r="A45" s="1501">
        <v>9</v>
      </c>
      <c r="B45" s="1504" t="s">
        <v>2189</v>
      </c>
      <c r="C45" s="1315"/>
      <c r="D45" s="1016" t="s">
        <v>2190</v>
      </c>
      <c r="E45" s="310">
        <v>0.25</v>
      </c>
      <c r="F45" s="1"/>
      <c r="G45" s="286">
        <f t="shared" si="0"/>
        <v>0</v>
      </c>
    </row>
    <row r="46" spans="1:8" ht="37.5">
      <c r="A46" s="1502"/>
      <c r="B46" s="1505"/>
      <c r="C46" s="1502"/>
      <c r="D46" s="1020" t="s">
        <v>2191</v>
      </c>
      <c r="E46" s="310">
        <v>0.25</v>
      </c>
      <c r="F46" s="1"/>
      <c r="G46" s="286">
        <f t="shared" si="0"/>
        <v>0</v>
      </c>
    </row>
    <row r="47" spans="1:8" ht="37.5">
      <c r="A47" s="1502"/>
      <c r="B47" s="1505"/>
      <c r="C47" s="1502"/>
      <c r="D47" s="1020" t="s">
        <v>2192</v>
      </c>
      <c r="E47" s="310">
        <v>0.25</v>
      </c>
      <c r="F47" s="1"/>
      <c r="G47" s="286">
        <f t="shared" si="0"/>
        <v>0</v>
      </c>
    </row>
    <row r="48" spans="1:8" ht="75">
      <c r="A48" s="1503"/>
      <c r="B48" s="1506"/>
      <c r="C48" s="1503"/>
      <c r="D48" s="1017" t="s">
        <v>2193</v>
      </c>
      <c r="E48" s="310">
        <v>0.25</v>
      </c>
      <c r="F48" s="1"/>
      <c r="G48" s="286"/>
    </row>
    <row r="49" spans="1:7">
      <c r="A49" s="27"/>
      <c r="B49" s="28" t="s">
        <v>1982</v>
      </c>
      <c r="C49" s="29">
        <v>0.16</v>
      </c>
      <c r="D49" s="45"/>
      <c r="E49" s="29">
        <f>SUM(E45:E48)</f>
        <v>1</v>
      </c>
      <c r="F49" s="27" t="s">
        <v>54</v>
      </c>
      <c r="G49" s="27">
        <f>SUM(G45:G46)*C49</f>
        <v>0</v>
      </c>
    </row>
    <row r="50" spans="1:7">
      <c r="A50" s="36"/>
      <c r="B50" s="37" t="s">
        <v>443</v>
      </c>
      <c r="C50" s="39">
        <f>SUBTOTAL(9,C7,C13,C20,C25,C29,C34,C39,C44,C49)</f>
        <v>1</v>
      </c>
      <c r="D50" s="37"/>
      <c r="E50" s="39">
        <v>9</v>
      </c>
      <c r="F50" s="38"/>
      <c r="G50" s="246">
        <f>SUBTOTAL(9,G7,G13,G20,G25,G29,G34,G39,G44,G49)</f>
        <v>0</v>
      </c>
    </row>
    <row r="51" spans="1:7">
      <c r="A51" s="26"/>
      <c r="B51" s="26" t="s">
        <v>444</v>
      </c>
      <c r="C51" s="10"/>
      <c r="D51" s="10"/>
      <c r="E51" s="11"/>
      <c r="F51" s="3"/>
      <c r="G51" s="21" t="str">
        <f>IF(G50&lt;=0.5,"низький",IF(G50&lt;=0.65,"середній",(IF(G50&lt;=0.85,"достатній",(IF(G50&lt;=1,"високий"))))))</f>
        <v>низький</v>
      </c>
    </row>
    <row r="52" spans="1:7">
      <c r="A52" s="288" t="s">
        <v>182</v>
      </c>
      <c r="C52" s="59"/>
      <c r="E52" s="642"/>
      <c r="F52" s="643"/>
      <c r="G52" s="112"/>
    </row>
    <row r="53" spans="1:7" ht="17.25">
      <c r="A53" s="288" t="s">
        <v>589</v>
      </c>
      <c r="C53" s="59"/>
      <c r="E53" s="642"/>
      <c r="F53" s="643"/>
      <c r="G53" s="112"/>
    </row>
    <row r="54" spans="1:7" ht="17.25">
      <c r="A54" s="288" t="s">
        <v>590</v>
      </c>
      <c r="C54" s="59"/>
      <c r="E54" s="642"/>
      <c r="F54" s="643"/>
      <c r="G54" s="112"/>
    </row>
    <row r="55" spans="1:7" ht="17.25">
      <c r="A55" s="288" t="s">
        <v>591</v>
      </c>
      <c r="C55" s="59"/>
      <c r="E55" s="642"/>
      <c r="F55" s="643"/>
      <c r="G55" s="112"/>
    </row>
    <row r="56" spans="1:7" ht="17.25">
      <c r="A56" s="288" t="s">
        <v>592</v>
      </c>
      <c r="C56" s="59"/>
      <c r="E56" s="642"/>
      <c r="F56" s="643"/>
      <c r="G56" s="112"/>
    </row>
    <row r="57" spans="1:7" ht="17.25">
      <c r="A57" s="288" t="s">
        <v>593</v>
      </c>
      <c r="C57" s="59"/>
      <c r="E57" s="642"/>
      <c r="F57" s="643"/>
      <c r="G57" s="112"/>
    </row>
    <row r="58" spans="1:7" ht="17.25">
      <c r="A58" s="288" t="s">
        <v>594</v>
      </c>
      <c r="C58" s="59"/>
      <c r="E58" s="642"/>
      <c r="F58" s="643"/>
      <c r="G58" s="112"/>
    </row>
    <row r="59" spans="1:7" ht="17.25">
      <c r="A59" s="288" t="s">
        <v>595</v>
      </c>
      <c r="C59" s="59"/>
      <c r="E59" s="642"/>
      <c r="F59" s="643"/>
      <c r="G59" s="112"/>
    </row>
    <row r="60" spans="1:7">
      <c r="A60" s="644" t="s">
        <v>596</v>
      </c>
      <c r="C60" s="59"/>
      <c r="E60" s="642"/>
      <c r="F60" s="643"/>
      <c r="G60" s="112"/>
    </row>
    <row r="61" spans="1:7">
      <c r="A61" s="288" t="s">
        <v>597</v>
      </c>
      <c r="C61" s="59"/>
      <c r="E61" s="642"/>
      <c r="F61" s="643"/>
      <c r="G61" s="112"/>
    </row>
    <row r="62" spans="1:7">
      <c r="A62" s="288" t="s">
        <v>2194</v>
      </c>
      <c r="C62" s="59"/>
      <c r="E62" s="642"/>
      <c r="F62" s="643"/>
      <c r="G62" s="112"/>
    </row>
    <row r="63" spans="1:7">
      <c r="A63" s="288" t="s">
        <v>2195</v>
      </c>
      <c r="C63" s="59"/>
      <c r="E63" s="642"/>
      <c r="F63" s="643"/>
      <c r="G63" s="112"/>
    </row>
    <row r="64" spans="1:7">
      <c r="A64" s="288" t="s">
        <v>2196</v>
      </c>
      <c r="C64" s="59"/>
      <c r="E64" s="642"/>
      <c r="F64" s="643"/>
      <c r="G64" s="112"/>
    </row>
    <row r="65" spans="1:7">
      <c r="A65" s="59"/>
      <c r="B65" s="59" t="s">
        <v>20</v>
      </c>
      <c r="C65" s="59"/>
      <c r="D65" s="59"/>
      <c r="E65" s="59"/>
      <c r="F65" s="59"/>
      <c r="G65" s="59"/>
    </row>
    <row r="66" spans="1:7">
      <c r="A66" s="645"/>
      <c r="B66" s="645"/>
      <c r="C66" s="645"/>
      <c r="D66" s="645"/>
      <c r="E66" s="645"/>
      <c r="F66" s="645"/>
      <c r="G66" s="645"/>
    </row>
    <row r="67" spans="1:7">
      <c r="A67" s="645"/>
      <c r="B67" s="645"/>
      <c r="C67" s="645"/>
      <c r="D67" s="645"/>
      <c r="E67" s="645"/>
      <c r="F67" s="645"/>
      <c r="G67" s="645"/>
    </row>
    <row r="68" spans="1:7">
      <c r="A68" s="645"/>
      <c r="B68" s="645"/>
      <c r="C68" s="645"/>
      <c r="D68" s="645"/>
      <c r="E68" s="645"/>
      <c r="F68" s="645"/>
      <c r="G68" s="645"/>
    </row>
    <row r="69" spans="1:7">
      <c r="A69" s="645"/>
      <c r="B69" s="645"/>
      <c r="C69" s="645"/>
      <c r="D69" s="645"/>
      <c r="E69" s="645"/>
      <c r="F69" s="645"/>
      <c r="G69" s="645"/>
    </row>
    <row r="70" spans="1:7">
      <c r="A70" s="645"/>
      <c r="B70" s="645"/>
      <c r="C70" s="645"/>
      <c r="D70" s="645"/>
      <c r="E70" s="645"/>
      <c r="F70" s="645"/>
      <c r="G70" s="645"/>
    </row>
    <row r="71" spans="1:7">
      <c r="A71" s="645"/>
      <c r="B71" s="645"/>
      <c r="C71" s="645"/>
      <c r="D71" s="645"/>
      <c r="E71" s="645"/>
      <c r="F71" s="645"/>
      <c r="G71" s="645"/>
    </row>
    <row r="72" spans="1:7">
      <c r="A72" s="645"/>
      <c r="B72" s="645"/>
      <c r="C72" s="645"/>
      <c r="D72" s="645"/>
      <c r="E72" s="645"/>
      <c r="F72" s="645"/>
      <c r="G72" s="645"/>
    </row>
    <row r="73" spans="1:7">
      <c r="A73" s="645"/>
      <c r="B73" s="645"/>
      <c r="C73" s="645"/>
      <c r="D73" s="645"/>
      <c r="E73" s="645"/>
      <c r="F73" s="645"/>
      <c r="G73" s="645"/>
    </row>
    <row r="74" spans="1:7">
      <c r="A74" s="645"/>
      <c r="B74" s="645"/>
      <c r="C74" s="645"/>
      <c r="D74" s="645"/>
      <c r="E74" s="645"/>
      <c r="F74" s="645"/>
      <c r="G74" s="645"/>
    </row>
    <row r="75" spans="1:7">
      <c r="A75" s="645"/>
      <c r="B75" s="645"/>
      <c r="C75" s="645"/>
      <c r="D75" s="645"/>
      <c r="E75" s="645"/>
      <c r="F75" s="645"/>
      <c r="G75" s="645"/>
    </row>
    <row r="76" spans="1:7">
      <c r="A76" s="645"/>
      <c r="B76" s="645"/>
      <c r="C76" s="645"/>
      <c r="D76" s="645"/>
      <c r="E76" s="645"/>
      <c r="F76" s="645"/>
      <c r="G76" s="645"/>
    </row>
    <row r="77" spans="1:7">
      <c r="A77" s="645"/>
      <c r="B77" s="645"/>
      <c r="C77" s="645"/>
      <c r="D77" s="645"/>
      <c r="E77" s="645"/>
      <c r="F77" s="645"/>
      <c r="G77" s="645"/>
    </row>
    <row r="78" spans="1:7">
      <c r="A78" s="645"/>
      <c r="B78" s="645"/>
      <c r="C78" s="645"/>
      <c r="D78" s="645"/>
      <c r="E78" s="645"/>
      <c r="F78" s="645"/>
      <c r="G78" s="645"/>
    </row>
    <row r="79" spans="1:7">
      <c r="A79" s="645"/>
      <c r="B79" s="645"/>
      <c r="C79" s="645"/>
      <c r="D79" s="645"/>
      <c r="E79" s="645"/>
      <c r="F79" s="645"/>
      <c r="G79" s="645"/>
    </row>
    <row r="80" spans="1:7">
      <c r="A80" s="59"/>
      <c r="B80" s="646" t="s">
        <v>2418</v>
      </c>
      <c r="C80" s="646"/>
      <c r="D80" s="646"/>
      <c r="E80" s="646"/>
      <c r="F80" s="646"/>
      <c r="G80" s="646"/>
    </row>
    <row r="81" spans="1:7">
      <c r="A81" s="59"/>
      <c r="B81" s="391"/>
      <c r="C81" s="391"/>
      <c r="D81" s="391"/>
      <c r="E81" s="391"/>
      <c r="F81" s="391"/>
      <c r="G81" s="391"/>
    </row>
    <row r="82" spans="1:7">
      <c r="A82" s="59"/>
      <c r="B82" s="646" t="s">
        <v>22</v>
      </c>
      <c r="C82" s="646"/>
      <c r="D82" s="646"/>
      <c r="E82" s="646"/>
      <c r="F82" s="646"/>
      <c r="G82" s="646"/>
    </row>
    <row r="83" spans="1:7">
      <c r="A83" s="59"/>
      <c r="B83" s="391"/>
      <c r="C83" s="391"/>
      <c r="D83" s="391"/>
      <c r="E83" s="391"/>
      <c r="F83" s="391"/>
      <c r="G83" s="391"/>
    </row>
    <row r="84" spans="1:7">
      <c r="A84" s="59"/>
      <c r="B84" s="646" t="s">
        <v>23</v>
      </c>
      <c r="C84" s="646"/>
      <c r="D84" s="646"/>
      <c r="E84" s="646"/>
      <c r="F84" s="646"/>
      <c r="G84" s="646"/>
    </row>
    <row r="85" spans="1:7">
      <c r="A85" s="59"/>
      <c r="B85" s="646" t="s">
        <v>24</v>
      </c>
      <c r="C85" s="646"/>
      <c r="D85" s="646"/>
      <c r="E85" s="646"/>
      <c r="F85" s="646"/>
      <c r="G85" s="646"/>
    </row>
  </sheetData>
  <mergeCells count="28">
    <mergeCell ref="A8:A12"/>
    <mergeCell ref="B8:B12"/>
    <mergeCell ref="C8:C12"/>
    <mergeCell ref="A1:G1"/>
    <mergeCell ref="A2:G2"/>
    <mergeCell ref="A5:A6"/>
    <mergeCell ref="B5:B6"/>
    <mergeCell ref="C5:C6"/>
    <mergeCell ref="A14:A19"/>
    <mergeCell ref="B14:B19"/>
    <mergeCell ref="C14:C17"/>
    <mergeCell ref="A21:A24"/>
    <mergeCell ref="B21:B24"/>
    <mergeCell ref="C21:C24"/>
    <mergeCell ref="A26:A28"/>
    <mergeCell ref="B26:B28"/>
    <mergeCell ref="C26:C28"/>
    <mergeCell ref="A30:A33"/>
    <mergeCell ref="B30:B33"/>
    <mergeCell ref="C30:C32"/>
    <mergeCell ref="A45:A48"/>
    <mergeCell ref="B45:B48"/>
    <mergeCell ref="C45:C48"/>
    <mergeCell ref="A35:A38"/>
    <mergeCell ref="B35:B38"/>
    <mergeCell ref="A40:A43"/>
    <mergeCell ref="B40:B43"/>
    <mergeCell ref="C40:C43"/>
  </mergeCells>
  <phoneticPr fontId="4" type="noConversion"/>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dimension ref="A1:G71"/>
  <sheetViews>
    <sheetView zoomScale="60" zoomScaleNormal="60" workbookViewId="0"/>
  </sheetViews>
  <sheetFormatPr defaultRowHeight="23.25"/>
  <cols>
    <col min="2" max="2" width="29.7109375" customWidth="1"/>
    <col min="3" max="3" width="13.28515625" style="378" customWidth="1"/>
    <col min="4" max="4" width="8" style="905" customWidth="1"/>
    <col min="5" max="5" width="82.28515625" style="635" customWidth="1"/>
    <col min="6" max="6" width="18.28515625" style="378" customWidth="1"/>
    <col min="7" max="7" width="14.140625" customWidth="1"/>
  </cols>
  <sheetData>
    <row r="1" spans="1:7" s="897" customFormat="1" ht="71.25" customHeight="1">
      <c r="A1"/>
      <c r="B1" s="1012" t="s">
        <v>2273</v>
      </c>
      <c r="C1" s="1012" t="s">
        <v>2258</v>
      </c>
      <c r="D1" s="891"/>
      <c r="E1" s="894" t="s">
        <v>1475</v>
      </c>
      <c r="F1" s="895" t="s">
        <v>1478</v>
      </c>
      <c r="G1" s="896" t="s">
        <v>399</v>
      </c>
    </row>
    <row r="2" spans="1:7" s="897" customFormat="1" ht="23.25" customHeight="1">
      <c r="A2" s="1523">
        <v>1</v>
      </c>
      <c r="B2" s="1521" t="s">
        <v>2274</v>
      </c>
      <c r="C2" s="1521">
        <v>0.26</v>
      </c>
      <c r="D2" s="891">
        <v>1</v>
      </c>
      <c r="E2" s="894" t="s">
        <v>1477</v>
      </c>
      <c r="F2" s="898">
        <v>0.03</v>
      </c>
      <c r="G2" s="896"/>
    </row>
    <row r="3" spans="1:7" s="897" customFormat="1" ht="56.25">
      <c r="A3" s="1523"/>
      <c r="B3" s="1521"/>
      <c r="C3" s="1521"/>
      <c r="D3" s="891">
        <v>2</v>
      </c>
      <c r="E3" s="894" t="s">
        <v>1478</v>
      </c>
      <c r="F3" s="895">
        <v>0.06</v>
      </c>
      <c r="G3" s="896"/>
    </row>
    <row r="4" spans="1:7" s="897" customFormat="1" ht="23.25" customHeight="1">
      <c r="A4" s="1523"/>
      <c r="B4" s="1521"/>
      <c r="C4" s="1521"/>
      <c r="D4" s="891">
        <v>3</v>
      </c>
      <c r="E4" s="894" t="s">
        <v>1479</v>
      </c>
      <c r="F4" s="895">
        <v>0.19</v>
      </c>
      <c r="G4" s="896"/>
    </row>
    <row r="5" spans="1:7" s="897" customFormat="1" ht="59.25" customHeight="1">
      <c r="A5" s="1523"/>
      <c r="B5" s="1521"/>
      <c r="C5" s="1521"/>
      <c r="D5" s="891">
        <v>4</v>
      </c>
      <c r="E5" s="894" t="s">
        <v>1480</v>
      </c>
      <c r="F5" s="895">
        <v>0.17</v>
      </c>
      <c r="G5" s="896"/>
    </row>
    <row r="6" spans="1:7" s="897" customFormat="1" ht="37.5">
      <c r="A6" s="1523"/>
      <c r="B6" s="1521"/>
      <c r="C6" s="1521"/>
      <c r="D6" s="891">
        <v>5</v>
      </c>
      <c r="E6" s="894" t="s">
        <v>1481</v>
      </c>
      <c r="F6" s="895">
        <v>0.14000000000000001</v>
      </c>
      <c r="G6" s="896"/>
    </row>
    <row r="7" spans="1:7" s="897" customFormat="1" ht="75">
      <c r="A7" s="1523"/>
      <c r="B7" s="1521"/>
      <c r="C7" s="1521"/>
      <c r="D7" s="891">
        <v>6</v>
      </c>
      <c r="E7" s="894" t="s">
        <v>1482</v>
      </c>
      <c r="F7" s="895">
        <v>0.13</v>
      </c>
      <c r="G7" s="896"/>
    </row>
    <row r="8" spans="1:7" s="897" customFormat="1" ht="117.75">
      <c r="A8" s="1523"/>
      <c r="B8" s="1521"/>
      <c r="C8" s="1521"/>
      <c r="D8" s="891">
        <v>7</v>
      </c>
      <c r="E8" s="894" t="s">
        <v>2399</v>
      </c>
      <c r="F8" s="898">
        <v>0.12</v>
      </c>
      <c r="G8" s="896"/>
    </row>
    <row r="9" spans="1:7" s="893" customFormat="1" ht="56.25">
      <c r="A9" s="1523"/>
      <c r="B9" s="1524"/>
      <c r="C9" s="1524"/>
      <c r="D9" s="891">
        <v>8</v>
      </c>
      <c r="E9" s="892" t="s">
        <v>1484</v>
      </c>
      <c r="F9" s="899">
        <v>7.0000000000000007E-2</v>
      </c>
    </row>
    <row r="10" spans="1:7" s="897" customFormat="1" ht="75">
      <c r="A10" s="1523"/>
      <c r="B10" s="1525"/>
      <c r="C10" s="1525"/>
      <c r="D10" s="891">
        <v>9</v>
      </c>
      <c r="E10" s="894" t="s">
        <v>2275</v>
      </c>
      <c r="F10" s="895">
        <v>0.09</v>
      </c>
      <c r="G10" s="896"/>
    </row>
    <row r="11" spans="1:7" s="897" customFormat="1" ht="26.25">
      <c r="A11"/>
      <c r="B11" s="1013"/>
      <c r="C11" s="1013"/>
      <c r="D11" s="891"/>
      <c r="E11" s="894"/>
      <c r="F11" s="895">
        <f>SUM(F2:F10)</f>
        <v>1.0000000000000002</v>
      </c>
      <c r="G11" s="896"/>
    </row>
    <row r="12" spans="1:7" s="894" customFormat="1" ht="78.75">
      <c r="A12" s="1526">
        <v>2</v>
      </c>
      <c r="B12" s="1526" t="s">
        <v>1486</v>
      </c>
      <c r="C12" s="1529">
        <v>0.25</v>
      </c>
      <c r="D12">
        <v>1</v>
      </c>
      <c r="E12" s="1013" t="s">
        <v>1487</v>
      </c>
      <c r="F12" s="1013">
        <v>0.13</v>
      </c>
      <c r="G12" s="891"/>
    </row>
    <row r="13" spans="1:7" s="1013" customFormat="1" ht="46.5" customHeight="1">
      <c r="A13" s="1527"/>
      <c r="B13" s="1527"/>
      <c r="C13" s="1529"/>
      <c r="D13" s="895">
        <v>2</v>
      </c>
      <c r="E13" s="896" t="s">
        <v>1488</v>
      </c>
      <c r="F13" s="897">
        <v>0.11</v>
      </c>
      <c r="G13"/>
    </row>
    <row r="14" spans="1:7" s="896" customFormat="1" ht="56.25">
      <c r="A14" s="1527"/>
      <c r="B14" s="1527"/>
      <c r="C14" s="1529"/>
      <c r="D14" s="1013">
        <v>3</v>
      </c>
      <c r="E14" s="891" t="s">
        <v>1489</v>
      </c>
      <c r="F14" s="894">
        <v>0.12</v>
      </c>
      <c r="G14" s="895"/>
    </row>
    <row r="15" spans="1:7" ht="99">
      <c r="A15" s="1527"/>
      <c r="B15" s="1527"/>
      <c r="C15" s="1529"/>
      <c r="D15" s="897">
        <v>4</v>
      </c>
      <c r="E15" s="1089" t="s">
        <v>1490</v>
      </c>
      <c r="F15" s="1090">
        <v>0.12</v>
      </c>
      <c r="G15" s="1091"/>
    </row>
    <row r="16" spans="1:7" ht="69.75">
      <c r="A16" s="1528"/>
      <c r="B16" s="1528"/>
      <c r="C16" s="1522"/>
      <c r="D16" s="894">
        <v>5</v>
      </c>
      <c r="E16" s="895" t="s">
        <v>1491</v>
      </c>
      <c r="F16" s="896">
        <v>0.12</v>
      </c>
      <c r="G16" s="897"/>
    </row>
    <row r="17" spans="1:7" ht="46.5">
      <c r="A17" s="1528"/>
      <c r="B17" s="1528"/>
      <c r="C17" s="1522"/>
      <c r="D17" s="894">
        <v>6</v>
      </c>
      <c r="E17" s="895" t="s">
        <v>1492</v>
      </c>
      <c r="F17" s="896">
        <v>0.1</v>
      </c>
      <c r="G17" s="897"/>
    </row>
    <row r="18" spans="1:7" ht="93">
      <c r="A18" s="1528"/>
      <c r="B18" s="1528"/>
      <c r="C18" s="1522"/>
      <c r="D18" s="894">
        <v>7</v>
      </c>
      <c r="E18" s="895" t="s">
        <v>1493</v>
      </c>
      <c r="F18" s="896">
        <v>0.14000000000000001</v>
      </c>
      <c r="G18" s="897"/>
    </row>
    <row r="19" spans="1:7" ht="26.25" customHeight="1">
      <c r="A19" s="1528"/>
      <c r="B19" s="1528"/>
      <c r="C19" s="1522"/>
      <c r="D19" s="894">
        <v>8</v>
      </c>
      <c r="E19" s="895" t="s">
        <v>1494</v>
      </c>
      <c r="F19" s="896">
        <v>0.16</v>
      </c>
      <c r="G19" s="897"/>
    </row>
    <row r="20" spans="1:7" ht="26.25">
      <c r="A20" s="890"/>
      <c r="B20" s="890"/>
      <c r="C20" s="900"/>
      <c r="D20" s="892"/>
      <c r="E20" s="901"/>
      <c r="F20" s="893">
        <f>SUM(F12:F19)</f>
        <v>1</v>
      </c>
      <c r="G20" s="893"/>
    </row>
    <row r="21" spans="1:7" ht="23.25" customHeight="1">
      <c r="A21" s="1517">
        <v>3</v>
      </c>
      <c r="B21" s="1517" t="s">
        <v>2276</v>
      </c>
      <c r="C21" s="1519">
        <v>0.16</v>
      </c>
      <c r="D21" s="894">
        <v>1</v>
      </c>
      <c r="E21" s="898" t="s">
        <v>1496</v>
      </c>
      <c r="F21" s="896">
        <v>0.24</v>
      </c>
      <c r="G21" s="897"/>
    </row>
    <row r="22" spans="1:7" ht="46.5">
      <c r="A22" s="1518"/>
      <c r="B22" s="1518"/>
      <c r="C22" s="1520"/>
      <c r="D22" s="894">
        <v>2</v>
      </c>
      <c r="E22" s="898" t="s">
        <v>1497</v>
      </c>
      <c r="F22" s="896">
        <v>0.2</v>
      </c>
      <c r="G22" s="897"/>
    </row>
    <row r="23" spans="1:7" ht="46.5">
      <c r="A23" s="1518"/>
      <c r="B23" s="1518"/>
      <c r="C23" s="1520"/>
      <c r="D23" s="894">
        <v>3</v>
      </c>
      <c r="E23" s="895" t="s">
        <v>2277</v>
      </c>
      <c r="F23" s="896">
        <v>0.22</v>
      </c>
      <c r="G23" s="897"/>
    </row>
    <row r="24" spans="1:7" ht="46.5">
      <c r="A24" s="1518"/>
      <c r="B24" s="1518"/>
      <c r="C24" s="1520"/>
      <c r="D24" s="894">
        <v>4</v>
      </c>
      <c r="E24" s="895" t="s">
        <v>2278</v>
      </c>
      <c r="F24" s="896">
        <v>0.14000000000000001</v>
      </c>
      <c r="G24" s="897"/>
    </row>
    <row r="25" spans="1:7" ht="46.5">
      <c r="A25" s="1518"/>
      <c r="B25" s="1518"/>
      <c r="C25" s="1520"/>
      <c r="D25" s="894">
        <v>5</v>
      </c>
      <c r="E25" s="895" t="s">
        <v>1499</v>
      </c>
      <c r="F25" s="896">
        <v>0.11</v>
      </c>
      <c r="G25" s="897"/>
    </row>
    <row r="26" spans="1:7" ht="93">
      <c r="A26" s="1518"/>
      <c r="B26" s="1518"/>
      <c r="C26" s="1520"/>
      <c r="D26" s="894">
        <v>6</v>
      </c>
      <c r="E26" s="895" t="s">
        <v>1500</v>
      </c>
      <c r="F26" s="896">
        <v>0.09</v>
      </c>
      <c r="G26" s="897"/>
    </row>
    <row r="27" spans="1:7" ht="26.25">
      <c r="A27" s="902"/>
      <c r="B27" s="902"/>
      <c r="C27" s="891"/>
      <c r="D27" s="892"/>
      <c r="E27" s="901"/>
      <c r="F27" s="893">
        <f>SUM(F21:F26)</f>
        <v>1</v>
      </c>
      <c r="G27" s="893"/>
    </row>
    <row r="28" spans="1:7" ht="69.75" customHeight="1">
      <c r="A28" s="1521">
        <v>4</v>
      </c>
      <c r="B28" s="1521" t="s">
        <v>1502</v>
      </c>
      <c r="C28" s="1522">
        <v>0.33</v>
      </c>
      <c r="D28" s="894">
        <v>1</v>
      </c>
      <c r="E28" s="895" t="s">
        <v>1503</v>
      </c>
      <c r="F28" s="896">
        <v>0.24</v>
      </c>
      <c r="G28" s="897"/>
    </row>
    <row r="29" spans="1:7" ht="46.5" customHeight="1">
      <c r="A29" s="1521"/>
      <c r="B29" s="1521"/>
      <c r="C29" s="1522"/>
      <c r="D29" s="894">
        <v>2</v>
      </c>
      <c r="E29" s="895" t="s">
        <v>1504</v>
      </c>
      <c r="F29" s="896">
        <v>0.19</v>
      </c>
      <c r="G29" s="897"/>
    </row>
    <row r="30" spans="1:7" ht="69.75">
      <c r="A30" s="1521"/>
      <c r="B30" s="1521"/>
      <c r="C30" s="1522"/>
      <c r="D30" s="894">
        <v>3</v>
      </c>
      <c r="E30" s="895" t="s">
        <v>1505</v>
      </c>
      <c r="F30" s="896">
        <v>0.21</v>
      </c>
      <c r="G30" s="897"/>
    </row>
    <row r="31" spans="1:7" ht="116.25">
      <c r="A31" s="1521"/>
      <c r="B31" s="1521"/>
      <c r="C31" s="1522"/>
      <c r="D31" s="894">
        <v>4</v>
      </c>
      <c r="E31" s="895" t="s">
        <v>1506</v>
      </c>
      <c r="F31" s="896">
        <v>0.2</v>
      </c>
      <c r="G31" s="897"/>
    </row>
    <row r="32" spans="1:7" ht="26.25" customHeight="1">
      <c r="A32" s="1521"/>
      <c r="B32" s="1521"/>
      <c r="C32" s="1522"/>
      <c r="D32" s="894">
        <v>5</v>
      </c>
      <c r="E32" s="895" t="s">
        <v>1507</v>
      </c>
      <c r="F32" s="896">
        <v>0.06</v>
      </c>
      <c r="G32" s="897"/>
    </row>
    <row r="33" spans="1:7" ht="69.75">
      <c r="A33" s="1521"/>
      <c r="B33" s="1521"/>
      <c r="C33" s="1522"/>
      <c r="D33" s="894">
        <v>6</v>
      </c>
      <c r="E33" s="895" t="s">
        <v>791</v>
      </c>
      <c r="F33" s="896">
        <v>0.1</v>
      </c>
      <c r="G33" s="897"/>
    </row>
    <row r="34" spans="1:7" ht="26.25">
      <c r="A34" s="903"/>
      <c r="B34" s="903"/>
      <c r="C34" s="904">
        <f>SUM(C2:C33)</f>
        <v>1</v>
      </c>
      <c r="D34" s="903"/>
      <c r="E34" s="903"/>
      <c r="F34" s="904">
        <f>SUM(F28:F33)</f>
        <v>1.0000000000000002</v>
      </c>
      <c r="G34" s="904"/>
    </row>
    <row r="35" spans="1:7" ht="31.5">
      <c r="A35" s="1515" t="s">
        <v>1640</v>
      </c>
      <c r="B35" s="1516"/>
      <c r="C35" s="859"/>
      <c r="D35" s="903"/>
      <c r="E35" s="903"/>
      <c r="F35" s="904"/>
      <c r="G35" s="903"/>
    </row>
    <row r="36" spans="1:7" ht="31.5">
      <c r="A36" s="1515" t="s">
        <v>444</v>
      </c>
      <c r="B36" s="1516"/>
      <c r="C36" s="859"/>
      <c r="D36" s="903"/>
      <c r="E36" s="903"/>
      <c r="F36" s="904"/>
      <c r="G36" s="903"/>
    </row>
    <row r="37" spans="1:7" s="302" customFormat="1" ht="15.75">
      <c r="A37" s="288" t="s">
        <v>182</v>
      </c>
      <c r="B37" s="289"/>
      <c r="C37" s="342"/>
      <c r="E37" s="343"/>
      <c r="F37" s="344"/>
      <c r="G37" s="112"/>
    </row>
    <row r="38" spans="1:7" s="302" customFormat="1" ht="17.25">
      <c r="A38" s="345" t="s">
        <v>589</v>
      </c>
      <c r="B38" s="346"/>
      <c r="C38" s="347"/>
      <c r="D38" s="303"/>
      <c r="E38" s="348"/>
      <c r="F38" s="349"/>
      <c r="G38" s="112"/>
    </row>
    <row r="39" spans="1:7" s="302" customFormat="1" ht="17.25">
      <c r="A39" s="345" t="s">
        <v>590</v>
      </c>
      <c r="B39" s="346"/>
      <c r="C39" s="347"/>
      <c r="D39" s="303"/>
      <c r="E39" s="348"/>
      <c r="F39" s="349"/>
      <c r="G39" s="112"/>
    </row>
    <row r="40" spans="1:7" s="302" customFormat="1" ht="17.25">
      <c r="A40" s="345" t="s">
        <v>591</v>
      </c>
      <c r="B40" s="346"/>
      <c r="C40" s="347"/>
      <c r="D40" s="303"/>
      <c r="E40" s="348"/>
      <c r="F40" s="349"/>
      <c r="G40" s="112"/>
    </row>
    <row r="41" spans="1:7" s="302" customFormat="1" ht="17.25">
      <c r="A41" s="345" t="s">
        <v>592</v>
      </c>
      <c r="B41" s="346"/>
      <c r="C41" s="347"/>
      <c r="D41" s="303"/>
      <c r="E41" s="348"/>
      <c r="F41" s="349"/>
      <c r="G41" s="112"/>
    </row>
    <row r="42" spans="1:7" s="302" customFormat="1" ht="17.25">
      <c r="A42" s="345" t="s">
        <v>593</v>
      </c>
      <c r="B42" s="346"/>
      <c r="C42" s="347"/>
      <c r="D42" s="303"/>
      <c r="E42" s="348"/>
      <c r="F42" s="349"/>
      <c r="G42" s="112"/>
    </row>
    <row r="43" spans="1:7" s="302" customFormat="1" ht="17.25">
      <c r="A43" s="345" t="s">
        <v>594</v>
      </c>
      <c r="B43" s="346"/>
      <c r="C43" s="347"/>
      <c r="D43" s="303"/>
      <c r="E43" s="348"/>
      <c r="F43" s="349"/>
      <c r="G43" s="112"/>
    </row>
    <row r="44" spans="1:7" s="302" customFormat="1" ht="17.25">
      <c r="A44" s="345" t="s">
        <v>595</v>
      </c>
      <c r="B44" s="346"/>
      <c r="C44" s="347"/>
      <c r="D44" s="303"/>
      <c r="E44" s="348"/>
      <c r="F44" s="349"/>
      <c r="G44" s="112"/>
    </row>
    <row r="45" spans="1:7" s="302" customFormat="1" ht="15.75">
      <c r="A45" s="350" t="s">
        <v>596</v>
      </c>
      <c r="B45" s="346"/>
      <c r="C45" s="347"/>
      <c r="D45" s="303"/>
      <c r="E45" s="348"/>
      <c r="F45" s="349"/>
      <c r="G45" s="112"/>
    </row>
    <row r="46" spans="1:7" s="302" customFormat="1" ht="15.75">
      <c r="A46" s="345" t="s">
        <v>597</v>
      </c>
      <c r="B46" s="346"/>
      <c r="C46" s="347"/>
      <c r="D46" s="303"/>
      <c r="E46" s="348"/>
      <c r="F46" s="349"/>
      <c r="G46" s="112"/>
    </row>
    <row r="47" spans="1:7" s="302" customFormat="1" ht="15.75">
      <c r="A47" s="288" t="s">
        <v>792</v>
      </c>
      <c r="B47" s="346"/>
      <c r="C47" s="347"/>
      <c r="D47" s="303"/>
      <c r="E47" s="348"/>
      <c r="F47" s="349"/>
      <c r="G47" s="112"/>
    </row>
    <row r="48" spans="1:7" s="302" customFormat="1" ht="15.75">
      <c r="A48" s="288" t="s">
        <v>793</v>
      </c>
      <c r="B48" s="346"/>
      <c r="C48" s="347"/>
      <c r="D48" s="303"/>
      <c r="E48" s="348"/>
      <c r="F48" s="349"/>
      <c r="G48" s="112"/>
    </row>
    <row r="49" spans="1:7" s="302" customFormat="1" ht="15.75">
      <c r="A49" s="288" t="s">
        <v>794</v>
      </c>
      <c r="B49" s="346"/>
      <c r="C49" s="347"/>
      <c r="D49" s="303"/>
      <c r="E49" s="348"/>
      <c r="F49" s="349"/>
      <c r="G49" s="112"/>
    </row>
    <row r="50" spans="1:7" s="302" customFormat="1" ht="15.75">
      <c r="A50" s="342"/>
      <c r="B50" s="342" t="s">
        <v>20</v>
      </c>
      <c r="C50" s="342"/>
      <c r="D50" s="342"/>
      <c r="E50" s="342"/>
      <c r="F50" s="342"/>
      <c r="G50" s="342"/>
    </row>
    <row r="51" spans="1:7" s="302" customFormat="1" ht="15.75">
      <c r="A51" s="351"/>
      <c r="B51" s="351"/>
      <c r="C51" s="351"/>
      <c r="D51" s="351"/>
      <c r="E51" s="351"/>
      <c r="F51" s="351"/>
      <c r="G51" s="351"/>
    </row>
    <row r="52" spans="1:7" s="302" customFormat="1" ht="15.75">
      <c r="A52" s="351"/>
      <c r="B52" s="351"/>
      <c r="C52" s="351"/>
      <c r="D52" s="351"/>
      <c r="E52" s="351"/>
      <c r="F52" s="351"/>
      <c r="G52" s="351"/>
    </row>
    <row r="53" spans="1:7" s="302" customFormat="1" ht="15.75">
      <c r="A53" s="351"/>
      <c r="B53" s="351"/>
      <c r="C53" s="351"/>
      <c r="D53" s="351"/>
      <c r="E53" s="351"/>
      <c r="F53" s="351"/>
      <c r="G53" s="351"/>
    </row>
    <row r="54" spans="1:7" s="302" customFormat="1" ht="15.75">
      <c r="A54" s="351"/>
      <c r="B54" s="351"/>
      <c r="C54" s="351"/>
      <c r="D54" s="351"/>
      <c r="E54" s="351"/>
      <c r="F54" s="351"/>
      <c r="G54" s="351"/>
    </row>
    <row r="55" spans="1:7" s="302" customFormat="1" ht="15.75">
      <c r="A55" s="351"/>
      <c r="B55" s="351"/>
      <c r="C55" s="351"/>
      <c r="D55" s="351"/>
      <c r="E55" s="351"/>
      <c r="F55" s="351"/>
      <c r="G55" s="351"/>
    </row>
    <row r="56" spans="1:7" s="302" customFormat="1" ht="15.75">
      <c r="A56" s="351"/>
      <c r="B56" s="351"/>
      <c r="C56" s="351"/>
      <c r="D56" s="351"/>
      <c r="E56" s="351"/>
      <c r="F56" s="351"/>
      <c r="G56" s="351"/>
    </row>
    <row r="57" spans="1:7" s="302" customFormat="1" ht="15.75">
      <c r="A57" s="351"/>
      <c r="B57" s="351"/>
      <c r="C57" s="351"/>
      <c r="D57" s="351"/>
      <c r="E57" s="351"/>
      <c r="F57" s="351"/>
      <c r="G57" s="351"/>
    </row>
    <row r="58" spans="1:7" s="302" customFormat="1" ht="15.75">
      <c r="A58" s="351"/>
      <c r="B58" s="351"/>
      <c r="C58" s="351"/>
      <c r="D58" s="351"/>
      <c r="E58" s="351"/>
      <c r="F58" s="351"/>
      <c r="G58" s="351"/>
    </row>
    <row r="59" spans="1:7" s="302" customFormat="1" ht="15.75">
      <c r="A59" s="351"/>
      <c r="B59" s="351"/>
      <c r="C59" s="351"/>
      <c r="D59" s="351"/>
      <c r="E59" s="351"/>
      <c r="F59" s="351"/>
      <c r="G59" s="351"/>
    </row>
    <row r="60" spans="1:7" s="302" customFormat="1" ht="15.75">
      <c r="A60" s="351"/>
      <c r="B60" s="351"/>
      <c r="C60" s="351"/>
      <c r="D60" s="351"/>
      <c r="E60" s="351"/>
      <c r="F60" s="351"/>
      <c r="G60" s="351"/>
    </row>
    <row r="61" spans="1:7" s="302" customFormat="1" ht="15.75">
      <c r="A61" s="351"/>
      <c r="B61" s="351"/>
      <c r="C61" s="351"/>
      <c r="D61" s="351"/>
      <c r="E61" s="351"/>
      <c r="F61" s="351"/>
      <c r="G61" s="351"/>
    </row>
    <row r="62" spans="1:7" s="302" customFormat="1" ht="15.75">
      <c r="A62" s="351"/>
      <c r="B62" s="351"/>
      <c r="C62" s="351"/>
      <c r="D62" s="351"/>
      <c r="E62" s="351"/>
      <c r="F62" s="351"/>
      <c r="G62" s="351"/>
    </row>
    <row r="63" spans="1:7" s="302" customFormat="1" ht="15.75">
      <c r="A63" s="351"/>
      <c r="B63" s="351"/>
      <c r="C63" s="351"/>
      <c r="D63" s="351"/>
      <c r="E63" s="351"/>
      <c r="F63" s="351"/>
      <c r="G63" s="351"/>
    </row>
    <row r="64" spans="1:7" s="302" customFormat="1" ht="15.75">
      <c r="A64" s="351"/>
      <c r="B64" s="351"/>
      <c r="C64" s="351"/>
      <c r="D64" s="351"/>
      <c r="E64" s="351"/>
      <c r="F64" s="351"/>
      <c r="G64" s="351"/>
    </row>
    <row r="65" spans="1:7" s="302" customFormat="1" ht="15.75">
      <c r="A65" s="342"/>
      <c r="B65" s="352" t="s">
        <v>2418</v>
      </c>
      <c r="C65" s="352"/>
      <c r="D65" s="352"/>
      <c r="E65" s="352"/>
      <c r="F65" s="352"/>
      <c r="G65" s="352"/>
    </row>
    <row r="66" spans="1:7" s="302" customFormat="1" ht="15.75">
      <c r="A66" s="342"/>
      <c r="B66" s="353"/>
      <c r="C66" s="353"/>
      <c r="D66" s="353"/>
      <c r="E66" s="353"/>
      <c r="F66" s="353"/>
      <c r="G66" s="353"/>
    </row>
    <row r="67" spans="1:7" s="302" customFormat="1" ht="15.75">
      <c r="A67" s="342"/>
      <c r="B67" s="352" t="s">
        <v>22</v>
      </c>
      <c r="C67" s="352"/>
      <c r="D67" s="352"/>
      <c r="E67" s="352"/>
      <c r="F67" s="352"/>
      <c r="G67" s="352"/>
    </row>
    <row r="68" spans="1:7" s="302" customFormat="1" ht="15.75">
      <c r="A68" s="342"/>
      <c r="B68" s="353"/>
      <c r="C68" s="353"/>
      <c r="D68" s="353"/>
      <c r="E68" s="353"/>
      <c r="F68" s="353"/>
      <c r="G68" s="353"/>
    </row>
    <row r="69" spans="1:7" s="302" customFormat="1" ht="15.75">
      <c r="A69" s="342"/>
      <c r="B69" s="352" t="s">
        <v>23</v>
      </c>
      <c r="C69" s="352"/>
      <c r="D69" s="352"/>
      <c r="E69" s="352"/>
      <c r="F69" s="352"/>
      <c r="G69" s="352"/>
    </row>
    <row r="70" spans="1:7" s="302" customFormat="1" ht="15.75">
      <c r="A70" s="342"/>
      <c r="B70" s="352" t="s">
        <v>24</v>
      </c>
      <c r="C70" s="352"/>
      <c r="D70" s="352"/>
      <c r="E70" s="352"/>
      <c r="F70" s="352"/>
      <c r="G70" s="352"/>
    </row>
    <row r="71" spans="1:7" s="303" customFormat="1" ht="15.75">
      <c r="A71" s="346"/>
      <c r="B71" s="346"/>
      <c r="E71" s="333"/>
    </row>
  </sheetData>
  <mergeCells count="14">
    <mergeCell ref="A2:A10"/>
    <mergeCell ref="B2:B10"/>
    <mergeCell ref="C2:C10"/>
    <mergeCell ref="A12:A19"/>
    <mergeCell ref="B12:B19"/>
    <mergeCell ref="C12:C19"/>
    <mergeCell ref="A35:B35"/>
    <mergeCell ref="A36:B36"/>
    <mergeCell ref="A21:A26"/>
    <mergeCell ref="B21:B26"/>
    <mergeCell ref="C21:C26"/>
    <mergeCell ref="A28:A33"/>
    <mergeCell ref="B28:B33"/>
    <mergeCell ref="C28:C33"/>
  </mergeCells>
  <phoneticPr fontId="4" type="noConversion"/>
  <pageMargins left="0.7" right="0.7" top="0.75" bottom="0.75" header="0.3" footer="0.3"/>
  <pageSetup paperSize="9" scale="50" orientation="portrait" r:id="rId1"/>
</worksheet>
</file>

<file path=xl/worksheets/sheet59.xml><?xml version="1.0" encoding="utf-8"?>
<worksheet xmlns="http://schemas.openxmlformats.org/spreadsheetml/2006/main" xmlns:r="http://schemas.openxmlformats.org/officeDocument/2006/relationships">
  <dimension ref="A1:G80"/>
  <sheetViews>
    <sheetView zoomScale="40" zoomScaleNormal="40" workbookViewId="0"/>
  </sheetViews>
  <sheetFormatPr defaultRowHeight="31.5"/>
  <cols>
    <col min="1" max="1" width="22.85546875" style="1115" customWidth="1"/>
    <col min="2" max="2" width="44.140625" style="1115" customWidth="1"/>
    <col min="3" max="3" width="17.5703125" style="1116" customWidth="1"/>
    <col min="4" max="4" width="14.42578125" style="1115" customWidth="1"/>
    <col min="5" max="5" width="150" style="1115" customWidth="1"/>
    <col min="6" max="6" width="26" style="1116" customWidth="1"/>
    <col min="7" max="7" width="31.42578125" style="1116" customWidth="1"/>
    <col min="8" max="8" width="17.140625" style="700" customWidth="1"/>
    <col min="9" max="16384" width="9.140625" style="700"/>
  </cols>
  <sheetData>
    <row r="1" spans="1:7" s="880" customFormat="1" ht="256.5" customHeight="1">
      <c r="A1" s="879" t="s">
        <v>1475</v>
      </c>
      <c r="B1" s="1539" t="s">
        <v>1445</v>
      </c>
      <c r="C1" s="1539"/>
      <c r="D1" s="1540"/>
      <c r="E1" s="1535"/>
      <c r="F1" s="1541"/>
      <c r="G1" s="1530"/>
    </row>
    <row r="2" spans="1:7" s="880" customFormat="1" ht="141.75" customHeight="1">
      <c r="A2" s="881"/>
      <c r="B2" s="1093" t="s">
        <v>1474</v>
      </c>
      <c r="C2" s="1094" t="s">
        <v>2258</v>
      </c>
      <c r="D2" s="700"/>
      <c r="E2" s="1014" t="s">
        <v>1475</v>
      </c>
      <c r="F2" s="1026" t="s">
        <v>1445</v>
      </c>
      <c r="G2" s="1095" t="s">
        <v>399</v>
      </c>
    </row>
    <row r="3" spans="1:7" s="880" customFormat="1" ht="61.5" customHeight="1">
      <c r="A3" s="1542">
        <v>1</v>
      </c>
      <c r="B3" s="1548" t="s">
        <v>1476</v>
      </c>
      <c r="C3" s="1549">
        <v>0.28999999999999998</v>
      </c>
      <c r="D3" s="700">
        <v>1</v>
      </c>
      <c r="E3" s="1014" t="s">
        <v>1477</v>
      </c>
      <c r="F3" s="1026">
        <v>0.03</v>
      </c>
      <c r="G3" s="1095"/>
    </row>
    <row r="4" spans="1:7" s="880" customFormat="1" ht="92.25" customHeight="1">
      <c r="A4" s="1543"/>
      <c r="B4" s="1548"/>
      <c r="C4" s="1549"/>
      <c r="D4" s="700">
        <v>2</v>
      </c>
      <c r="E4" s="1014" t="s">
        <v>1478</v>
      </c>
      <c r="F4" s="1026">
        <v>0.05</v>
      </c>
      <c r="G4" s="1095"/>
    </row>
    <row r="5" spans="1:7" s="880" customFormat="1" ht="31.5" customHeight="1">
      <c r="A5" s="1542"/>
      <c r="B5" s="1548"/>
      <c r="C5" s="1549"/>
      <c r="D5" s="700">
        <v>3</v>
      </c>
      <c r="E5" s="1014" t="s">
        <v>1479</v>
      </c>
      <c r="F5" s="1026">
        <v>0.18</v>
      </c>
      <c r="G5" s="1095"/>
    </row>
    <row r="6" spans="1:7" s="880" customFormat="1" ht="98.25" customHeight="1">
      <c r="A6" s="1542"/>
      <c r="B6" s="1548"/>
      <c r="C6" s="1549"/>
      <c r="D6" s="700">
        <v>4</v>
      </c>
      <c r="E6" s="1014" t="s">
        <v>1480</v>
      </c>
      <c r="F6" s="1026">
        <v>0.15</v>
      </c>
      <c r="G6" s="1095"/>
    </row>
    <row r="7" spans="1:7" s="880" customFormat="1" ht="61.5">
      <c r="A7" s="1542"/>
      <c r="B7" s="1548"/>
      <c r="C7" s="1549"/>
      <c r="D7" s="700">
        <v>5</v>
      </c>
      <c r="E7" s="1014" t="s">
        <v>1481</v>
      </c>
      <c r="F7" s="1026">
        <v>0.15</v>
      </c>
      <c r="G7" s="1095"/>
    </row>
    <row r="8" spans="1:7" s="882" customFormat="1" ht="123" customHeight="1">
      <c r="A8" s="1544"/>
      <c r="B8" s="1548"/>
      <c r="C8" s="1549"/>
      <c r="D8" s="700">
        <v>6</v>
      </c>
      <c r="E8" s="1014" t="s">
        <v>1482</v>
      </c>
      <c r="F8" s="1026">
        <v>0.11</v>
      </c>
      <c r="G8" s="1095"/>
    </row>
    <row r="9" spans="1:7" s="882" customFormat="1" ht="92.25" customHeight="1">
      <c r="A9" s="1545"/>
      <c r="B9" s="1548"/>
      <c r="C9" s="1550"/>
      <c r="D9" s="700">
        <v>7</v>
      </c>
      <c r="E9" s="1014" t="s">
        <v>2261</v>
      </c>
      <c r="F9" s="1026">
        <v>0.09</v>
      </c>
      <c r="G9" s="1095"/>
    </row>
    <row r="10" spans="1:7" s="882" customFormat="1" ht="162" customHeight="1">
      <c r="A10" s="1545"/>
      <c r="B10" s="1548"/>
      <c r="C10" s="1550"/>
      <c r="D10" s="700">
        <v>8</v>
      </c>
      <c r="E10" s="1014" t="s">
        <v>2262</v>
      </c>
      <c r="F10" s="1027">
        <v>0.06</v>
      </c>
      <c r="G10" s="1097"/>
    </row>
    <row r="11" spans="1:7" s="883" customFormat="1" ht="92.25">
      <c r="A11" s="1546"/>
      <c r="B11" s="1548"/>
      <c r="C11" s="1550"/>
      <c r="D11" s="700">
        <v>9</v>
      </c>
      <c r="E11" s="883" t="s">
        <v>1484</v>
      </c>
      <c r="F11" s="883">
        <v>0.09</v>
      </c>
      <c r="G11" s="1093"/>
    </row>
    <row r="12" spans="1:7" s="880" customFormat="1" ht="123">
      <c r="A12" s="1547"/>
      <c r="B12" s="1548"/>
      <c r="C12" s="1548"/>
      <c r="D12" s="700">
        <v>10</v>
      </c>
      <c r="E12" s="1014" t="s">
        <v>2263</v>
      </c>
      <c r="F12" s="1014">
        <v>0.09</v>
      </c>
      <c r="G12" s="1117"/>
    </row>
    <row r="13" spans="1:7" s="880" customFormat="1">
      <c r="A13" s="884"/>
      <c r="B13" s="1093"/>
      <c r="C13" s="1094"/>
      <c r="D13" s="700"/>
      <c r="E13" s="1014"/>
      <c r="F13" s="1014">
        <f>SUM(F3:F12)</f>
        <v>1</v>
      </c>
      <c r="G13" s="1095"/>
    </row>
    <row r="14" spans="1:7" s="1014" customFormat="1" ht="63">
      <c r="A14" s="1536">
        <v>2</v>
      </c>
      <c r="B14" s="1536" t="s">
        <v>1486</v>
      </c>
      <c r="C14" s="1537">
        <v>0.23</v>
      </c>
      <c r="D14" s="884">
        <v>1</v>
      </c>
      <c r="E14" s="1093" t="s">
        <v>1487</v>
      </c>
      <c r="F14" s="1094">
        <v>0.1</v>
      </c>
      <c r="G14" s="700"/>
    </row>
    <row r="15" spans="1:7" s="1093" customFormat="1" ht="61.5" customHeight="1">
      <c r="A15" s="1536"/>
      <c r="B15" s="1536"/>
      <c r="C15" s="1538"/>
      <c r="D15" s="1014">
        <v>2</v>
      </c>
      <c r="E15" s="1095" t="s">
        <v>1488</v>
      </c>
      <c r="F15" s="880">
        <v>0.08</v>
      </c>
      <c r="G15" s="884"/>
    </row>
    <row r="16" spans="1:7" ht="94.5" customHeight="1">
      <c r="A16" s="1536"/>
      <c r="B16" s="1536"/>
      <c r="C16" s="1538"/>
      <c r="D16" s="1094">
        <v>3</v>
      </c>
      <c r="E16" s="1092" t="s">
        <v>1489</v>
      </c>
      <c r="F16" s="1098">
        <v>0.11</v>
      </c>
      <c r="G16" s="1099"/>
    </row>
    <row r="17" spans="1:7" ht="99" customHeight="1">
      <c r="A17" s="1535"/>
      <c r="B17" s="1535"/>
      <c r="C17" s="1531"/>
      <c r="D17" s="880">
        <v>4</v>
      </c>
      <c r="E17" s="884" t="s">
        <v>1490</v>
      </c>
      <c r="F17" s="1093">
        <v>0.1</v>
      </c>
      <c r="G17" s="1094"/>
    </row>
    <row r="18" spans="1:7" ht="61.5">
      <c r="A18" s="1535"/>
      <c r="B18" s="1535"/>
      <c r="C18" s="1531"/>
      <c r="D18" s="880">
        <v>5</v>
      </c>
      <c r="E18" s="884" t="s">
        <v>1491</v>
      </c>
      <c r="F18" s="1093">
        <v>0.1</v>
      </c>
      <c r="G18" s="1094"/>
    </row>
    <row r="19" spans="1:7" ht="61.5">
      <c r="A19" s="1535"/>
      <c r="B19" s="1535"/>
      <c r="C19" s="1531"/>
      <c r="D19" s="880">
        <v>6</v>
      </c>
      <c r="E19" s="884" t="s">
        <v>1492</v>
      </c>
      <c r="F19" s="1093">
        <v>0.09</v>
      </c>
      <c r="G19" s="1094"/>
    </row>
    <row r="20" spans="1:7" ht="92.25">
      <c r="A20" s="1535"/>
      <c r="B20" s="1535"/>
      <c r="C20" s="1531"/>
      <c r="D20" s="880">
        <v>7</v>
      </c>
      <c r="E20" s="884" t="s">
        <v>2264</v>
      </c>
      <c r="F20" s="1093">
        <v>0.11</v>
      </c>
      <c r="G20" s="1094"/>
    </row>
    <row r="21" spans="1:7">
      <c r="A21" s="1535"/>
      <c r="B21" s="1535"/>
      <c r="C21" s="1531"/>
      <c r="D21" s="880">
        <v>8</v>
      </c>
      <c r="E21" s="884" t="s">
        <v>1494</v>
      </c>
      <c r="F21" s="1093">
        <v>0.14000000000000001</v>
      </c>
      <c r="G21" s="1094"/>
    </row>
    <row r="22" spans="1:7" ht="123" customHeight="1">
      <c r="A22" s="1535"/>
      <c r="B22" s="1535"/>
      <c r="C22" s="1532"/>
      <c r="D22" s="880">
        <v>9</v>
      </c>
      <c r="E22" s="884" t="s">
        <v>2265</v>
      </c>
      <c r="F22" s="1093">
        <v>0.17</v>
      </c>
      <c r="G22" s="1094"/>
    </row>
    <row r="23" spans="1:7">
      <c r="A23" s="883"/>
      <c r="B23" s="883"/>
      <c r="C23" s="1093"/>
      <c r="D23" s="883"/>
      <c r="E23" s="885"/>
      <c r="F23" s="886">
        <f>SUM(F14:F22)</f>
        <v>1</v>
      </c>
      <c r="G23" s="886"/>
    </row>
    <row r="24" spans="1:7" ht="31.5" customHeight="1">
      <c r="A24" s="1535">
        <v>3</v>
      </c>
      <c r="B24" s="1535" t="s">
        <v>1495</v>
      </c>
      <c r="C24" s="1530">
        <v>0.16</v>
      </c>
      <c r="D24" s="880">
        <v>1</v>
      </c>
      <c r="E24" s="887" t="s">
        <v>1496</v>
      </c>
      <c r="F24" s="1093">
        <v>0.14000000000000001</v>
      </c>
      <c r="G24" s="1094"/>
    </row>
    <row r="25" spans="1:7" ht="61.5">
      <c r="A25" s="1535"/>
      <c r="B25" s="1535"/>
      <c r="C25" s="1531"/>
      <c r="D25" s="880">
        <v>2</v>
      </c>
      <c r="E25" s="887" t="s">
        <v>1497</v>
      </c>
      <c r="F25" s="1093">
        <v>0.1</v>
      </c>
      <c r="G25" s="1094"/>
    </row>
    <row r="26" spans="1:7">
      <c r="A26" s="1535"/>
      <c r="B26" s="1535"/>
      <c r="C26" s="1531"/>
      <c r="D26" s="880">
        <v>3</v>
      </c>
      <c r="E26" s="884" t="s">
        <v>1498</v>
      </c>
      <c r="F26" s="1093">
        <v>0.11</v>
      </c>
      <c r="G26" s="1094"/>
    </row>
    <row r="27" spans="1:7">
      <c r="A27" s="1535"/>
      <c r="B27" s="1535"/>
      <c r="C27" s="1531"/>
      <c r="D27" s="880">
        <v>4</v>
      </c>
      <c r="E27" s="884" t="s">
        <v>2266</v>
      </c>
      <c r="F27" s="1093">
        <v>0.09</v>
      </c>
      <c r="G27" s="1094"/>
    </row>
    <row r="28" spans="1:7">
      <c r="A28" s="1535"/>
      <c r="B28" s="1535"/>
      <c r="C28" s="1531"/>
      <c r="D28" s="880">
        <v>5</v>
      </c>
      <c r="E28" s="884" t="s">
        <v>2267</v>
      </c>
      <c r="F28" s="1093">
        <v>7.0000000000000007E-2</v>
      </c>
      <c r="G28" s="1094"/>
    </row>
    <row r="29" spans="1:7" ht="61.5">
      <c r="A29" s="1535"/>
      <c r="B29" s="1535"/>
      <c r="C29" s="1531"/>
      <c r="D29" s="880">
        <v>6</v>
      </c>
      <c r="E29" s="884" t="s">
        <v>2268</v>
      </c>
      <c r="F29" s="1093">
        <v>0.03</v>
      </c>
      <c r="G29" s="1094"/>
    </row>
    <row r="30" spans="1:7" ht="61.5">
      <c r="A30" s="1535"/>
      <c r="B30" s="1535"/>
      <c r="C30" s="1531"/>
      <c r="D30" s="880">
        <v>7</v>
      </c>
      <c r="E30" s="884" t="s">
        <v>2269</v>
      </c>
      <c r="F30" s="1093">
        <v>7.0000000000000007E-2</v>
      </c>
      <c r="G30" s="1094"/>
    </row>
    <row r="31" spans="1:7" ht="61.5">
      <c r="A31" s="1535"/>
      <c r="B31" s="1535"/>
      <c r="C31" s="1531"/>
      <c r="D31" s="880">
        <v>8</v>
      </c>
      <c r="E31" s="884" t="s">
        <v>1499</v>
      </c>
      <c r="F31" s="1093">
        <v>7.0000000000000007E-2</v>
      </c>
      <c r="G31" s="1094"/>
    </row>
    <row r="32" spans="1:7">
      <c r="A32" s="1535"/>
      <c r="B32" s="1535"/>
      <c r="C32" s="1531"/>
      <c r="D32" s="880">
        <v>9</v>
      </c>
      <c r="E32" s="884" t="s">
        <v>2270</v>
      </c>
      <c r="F32" s="1093">
        <v>0.11</v>
      </c>
      <c r="G32" s="1094"/>
    </row>
    <row r="33" spans="1:7" ht="92.25">
      <c r="A33" s="1535"/>
      <c r="B33" s="1535"/>
      <c r="C33" s="1531"/>
      <c r="D33" s="880">
        <v>10</v>
      </c>
      <c r="E33" s="884" t="s">
        <v>1500</v>
      </c>
      <c r="F33" s="1093">
        <v>0.03</v>
      </c>
      <c r="G33" s="1094"/>
    </row>
    <row r="34" spans="1:7" ht="68.25" customHeight="1">
      <c r="A34" s="1535"/>
      <c r="B34" s="1535"/>
      <c r="C34" s="1531"/>
      <c r="D34" s="880">
        <v>11</v>
      </c>
      <c r="E34" s="884" t="s">
        <v>2271</v>
      </c>
      <c r="F34" s="1093">
        <v>0.12</v>
      </c>
      <c r="G34" s="1094"/>
    </row>
    <row r="35" spans="1:7" ht="61.5">
      <c r="A35" s="1535"/>
      <c r="B35" s="1535"/>
      <c r="C35" s="1532"/>
      <c r="D35" s="880">
        <v>12</v>
      </c>
      <c r="E35" s="888" t="s">
        <v>2272</v>
      </c>
      <c r="F35" s="1093">
        <v>0.06</v>
      </c>
      <c r="G35" s="1100"/>
    </row>
    <row r="36" spans="1:7">
      <c r="A36" s="883"/>
      <c r="B36" s="883"/>
      <c r="C36" s="1093"/>
      <c r="D36" s="883"/>
      <c r="E36" s="889"/>
      <c r="F36" s="886">
        <f>SUM(F24:F35)</f>
        <v>1.0000000000000002</v>
      </c>
      <c r="G36" s="886"/>
    </row>
    <row r="37" spans="1:7" ht="92.25" customHeight="1">
      <c r="A37" s="1535">
        <v>4</v>
      </c>
      <c r="B37" s="1535" t="s">
        <v>1502</v>
      </c>
      <c r="C37" s="1530">
        <v>0.32</v>
      </c>
      <c r="D37" s="880">
        <v>1</v>
      </c>
      <c r="E37" s="888" t="s">
        <v>1503</v>
      </c>
      <c r="F37" s="1093">
        <v>0.21</v>
      </c>
      <c r="G37" s="1094"/>
    </row>
    <row r="38" spans="1:7" ht="61.5" customHeight="1">
      <c r="A38" s="1535"/>
      <c r="B38" s="1535"/>
      <c r="C38" s="1531"/>
      <c r="D38" s="880">
        <v>2</v>
      </c>
      <c r="E38" s="888" t="s">
        <v>1504</v>
      </c>
      <c r="F38" s="1093">
        <v>0.19</v>
      </c>
      <c r="G38" s="1094"/>
    </row>
    <row r="39" spans="1:7" ht="92.25">
      <c r="A39" s="1535"/>
      <c r="B39" s="1535"/>
      <c r="C39" s="1531"/>
      <c r="D39" s="880">
        <v>3</v>
      </c>
      <c r="E39" s="888" t="s">
        <v>1505</v>
      </c>
      <c r="F39" s="1093">
        <v>0.21</v>
      </c>
      <c r="G39" s="1094"/>
    </row>
    <row r="40" spans="1:7" ht="127.5" customHeight="1">
      <c r="A40" s="1535"/>
      <c r="B40" s="1535"/>
      <c r="C40" s="1531"/>
      <c r="D40" s="880">
        <v>4</v>
      </c>
      <c r="E40" s="888" t="s">
        <v>1506</v>
      </c>
      <c r="F40" s="1093">
        <v>0.2</v>
      </c>
      <c r="G40" s="1100"/>
    </row>
    <row r="41" spans="1:7">
      <c r="A41" s="1535"/>
      <c r="B41" s="1535"/>
      <c r="C41" s="1531"/>
      <c r="D41" s="880">
        <v>5</v>
      </c>
      <c r="E41" s="888" t="s">
        <v>1507</v>
      </c>
      <c r="F41" s="1093">
        <v>0.08</v>
      </c>
      <c r="G41" s="1096"/>
    </row>
    <row r="42" spans="1:7" ht="61.5">
      <c r="A42" s="1535"/>
      <c r="B42" s="1535"/>
      <c r="C42" s="1532"/>
      <c r="D42" s="880">
        <v>6</v>
      </c>
      <c r="E42" s="884" t="s">
        <v>791</v>
      </c>
      <c r="F42" s="1093">
        <v>0.11</v>
      </c>
      <c r="G42" s="1094"/>
    </row>
    <row r="43" spans="1:7">
      <c r="A43" s="1101"/>
      <c r="B43" s="1101"/>
      <c r="C43" s="1093">
        <f>SUM(C3:C42)</f>
        <v>1</v>
      </c>
      <c r="D43" s="1101"/>
      <c r="E43" s="1102"/>
      <c r="F43" s="1093">
        <f>SUM(F37:F42)</f>
        <v>1</v>
      </c>
      <c r="G43" s="1093"/>
    </row>
    <row r="44" spans="1:7">
      <c r="A44" s="1533" t="s">
        <v>1640</v>
      </c>
      <c r="B44" s="1534"/>
      <c r="C44" s="1103"/>
      <c r="D44" s="1104"/>
      <c r="E44" s="1104"/>
      <c r="F44" s="1105"/>
      <c r="G44" s="1105"/>
    </row>
    <row r="45" spans="1:7">
      <c r="A45" s="1533" t="s">
        <v>444</v>
      </c>
      <c r="B45" s="1534"/>
      <c r="C45" s="1103"/>
      <c r="D45" s="1101"/>
      <c r="E45" s="1101"/>
      <c r="F45" s="1105"/>
      <c r="G45" s="1105"/>
    </row>
    <row r="46" spans="1:7" s="302" customFormat="1">
      <c r="A46" s="289" t="s">
        <v>182</v>
      </c>
      <c r="B46" s="289"/>
      <c r="C46" s="1106"/>
      <c r="E46" s="1107"/>
      <c r="F46" s="1108"/>
      <c r="G46" s="1109"/>
    </row>
    <row r="47" spans="1:7" s="302" customFormat="1" ht="97.5">
      <c r="A47" s="346" t="s">
        <v>589</v>
      </c>
      <c r="B47" s="346"/>
      <c r="C47" s="1110"/>
      <c r="D47" s="303"/>
      <c r="E47" s="1111"/>
      <c r="F47" s="1112"/>
      <c r="G47" s="1109"/>
    </row>
    <row r="48" spans="1:7" s="302" customFormat="1" ht="33">
      <c r="A48" s="346" t="s">
        <v>590</v>
      </c>
      <c r="B48" s="346"/>
      <c r="C48" s="1110"/>
      <c r="D48" s="303"/>
      <c r="E48" s="1111"/>
      <c r="F48" s="1112"/>
      <c r="G48" s="1109"/>
    </row>
    <row r="49" spans="1:7" s="302" customFormat="1" ht="33">
      <c r="A49" s="346" t="s">
        <v>591</v>
      </c>
      <c r="B49" s="346"/>
      <c r="C49" s="1110"/>
      <c r="D49" s="303"/>
      <c r="E49" s="1111"/>
      <c r="F49" s="1112"/>
      <c r="G49" s="1109"/>
    </row>
    <row r="50" spans="1:7" s="302" customFormat="1" ht="48.75">
      <c r="A50" s="346" t="s">
        <v>592</v>
      </c>
      <c r="B50" s="346"/>
      <c r="C50" s="1110"/>
      <c r="D50" s="303"/>
      <c r="E50" s="1111"/>
      <c r="F50" s="1112"/>
      <c r="G50" s="1109"/>
    </row>
    <row r="51" spans="1:7" s="302" customFormat="1" ht="64.5">
      <c r="A51" s="346" t="s">
        <v>593</v>
      </c>
      <c r="B51" s="346"/>
      <c r="C51" s="1110"/>
      <c r="D51" s="303"/>
      <c r="E51" s="1111"/>
      <c r="F51" s="1112"/>
      <c r="G51" s="1109"/>
    </row>
    <row r="52" spans="1:7" s="302" customFormat="1" ht="64.5">
      <c r="A52" s="346" t="s">
        <v>594</v>
      </c>
      <c r="B52" s="346"/>
      <c r="C52" s="1110"/>
      <c r="D52" s="303"/>
      <c r="E52" s="1111"/>
      <c r="F52" s="1112"/>
      <c r="G52" s="1109"/>
    </row>
    <row r="53" spans="1:7" s="302" customFormat="1" ht="50.25">
      <c r="A53" s="346" t="s">
        <v>595</v>
      </c>
      <c r="B53" s="346"/>
      <c r="C53" s="1110"/>
      <c r="D53" s="303"/>
      <c r="E53" s="1111"/>
      <c r="F53" s="1112"/>
      <c r="G53" s="1109"/>
    </row>
    <row r="54" spans="1:7" s="302" customFormat="1" ht="94.5">
      <c r="A54" s="302" t="s">
        <v>596</v>
      </c>
      <c r="B54" s="346"/>
      <c r="C54" s="1110"/>
      <c r="D54" s="303"/>
      <c r="E54" s="1111"/>
      <c r="F54" s="1112"/>
      <c r="G54" s="1109"/>
    </row>
    <row r="55" spans="1:7" s="302" customFormat="1">
      <c r="A55" s="346" t="s">
        <v>597</v>
      </c>
      <c r="B55" s="346"/>
      <c r="C55" s="1110"/>
      <c r="D55" s="303"/>
      <c r="E55" s="1111"/>
      <c r="F55" s="1112"/>
      <c r="G55" s="1109"/>
    </row>
    <row r="56" spans="1:7" s="302" customFormat="1">
      <c r="A56" s="289" t="s">
        <v>792</v>
      </c>
      <c r="B56" s="346"/>
      <c r="C56" s="1110"/>
      <c r="D56" s="303"/>
      <c r="E56" s="1111"/>
      <c r="F56" s="1112"/>
      <c r="G56" s="1109"/>
    </row>
    <row r="57" spans="1:7" s="302" customFormat="1">
      <c r="A57" s="289" t="s">
        <v>793</v>
      </c>
      <c r="B57" s="346"/>
      <c r="C57" s="1110"/>
      <c r="D57" s="303"/>
      <c r="E57" s="1111"/>
      <c r="F57" s="1112"/>
      <c r="G57" s="1109"/>
    </row>
    <row r="58" spans="1:7" s="302" customFormat="1">
      <c r="A58" s="289" t="s">
        <v>794</v>
      </c>
      <c r="B58" s="346"/>
      <c r="C58" s="1110"/>
      <c r="D58" s="303"/>
      <c r="E58" s="1111"/>
      <c r="F58" s="1112"/>
      <c r="G58" s="1109"/>
    </row>
    <row r="59" spans="1:7" s="302" customFormat="1" ht="15.75">
      <c r="A59" s="1106"/>
      <c r="B59" s="1106" t="s">
        <v>20</v>
      </c>
      <c r="C59" s="1106"/>
      <c r="D59" s="1106"/>
      <c r="E59" s="1106"/>
      <c r="F59" s="1106"/>
      <c r="G59" s="1106"/>
    </row>
    <row r="60" spans="1:7" s="302" customFormat="1" ht="15.75">
      <c r="A60" s="1113"/>
      <c r="B60" s="1113"/>
      <c r="C60" s="1113"/>
      <c r="D60" s="1113"/>
      <c r="E60" s="1113"/>
      <c r="F60" s="1113"/>
      <c r="G60" s="1113"/>
    </row>
    <row r="61" spans="1:7" s="302" customFormat="1" ht="15.75">
      <c r="A61" s="1113"/>
      <c r="B61" s="1113"/>
      <c r="C61" s="1113"/>
      <c r="D61" s="1113"/>
      <c r="E61" s="1113"/>
      <c r="F61" s="1113"/>
      <c r="G61" s="1113"/>
    </row>
    <row r="62" spans="1:7" s="302" customFormat="1" ht="15.75">
      <c r="A62" s="1113"/>
      <c r="B62" s="1113"/>
      <c r="C62" s="1113"/>
      <c r="D62" s="1113"/>
      <c r="E62" s="1113"/>
      <c r="F62" s="1113"/>
      <c r="G62" s="1113"/>
    </row>
    <row r="63" spans="1:7" s="302" customFormat="1" ht="15.75">
      <c r="A63" s="1113"/>
      <c r="B63" s="1113"/>
      <c r="C63" s="1113"/>
      <c r="D63" s="1113"/>
      <c r="E63" s="1113"/>
      <c r="F63" s="1113"/>
      <c r="G63" s="1113"/>
    </row>
    <row r="64" spans="1:7" s="302" customFormat="1" ht="15.75">
      <c r="A64" s="1113"/>
      <c r="B64" s="1113"/>
      <c r="C64" s="1113"/>
      <c r="D64" s="1113"/>
      <c r="E64" s="1113"/>
      <c r="F64" s="1113"/>
      <c r="G64" s="1113"/>
    </row>
    <row r="65" spans="1:7" s="302" customFormat="1" ht="15.75">
      <c r="A65" s="1113"/>
      <c r="B65" s="1113"/>
      <c r="C65" s="1113"/>
      <c r="D65" s="1113"/>
      <c r="E65" s="1113"/>
      <c r="F65" s="1113"/>
      <c r="G65" s="1113"/>
    </row>
    <row r="66" spans="1:7" s="302" customFormat="1" ht="15.75">
      <c r="A66" s="1113"/>
      <c r="B66" s="1113"/>
      <c r="C66" s="1113"/>
      <c r="D66" s="1113"/>
      <c r="E66" s="1113"/>
      <c r="F66" s="1113"/>
      <c r="G66" s="1113"/>
    </row>
    <row r="67" spans="1:7" s="302" customFormat="1" ht="15.75">
      <c r="A67" s="1113"/>
      <c r="B67" s="1113"/>
      <c r="C67" s="1113"/>
      <c r="D67" s="1113"/>
      <c r="E67" s="1113"/>
      <c r="F67" s="1113"/>
      <c r="G67" s="1113"/>
    </row>
    <row r="68" spans="1:7" s="302" customFormat="1" ht="15.75">
      <c r="A68" s="1113"/>
      <c r="B68" s="1113"/>
      <c r="C68" s="1113"/>
      <c r="D68" s="1113"/>
      <c r="E68" s="1113"/>
      <c r="F68" s="1113"/>
      <c r="G68" s="1113"/>
    </row>
    <row r="69" spans="1:7" s="302" customFormat="1" ht="15.75">
      <c r="A69" s="1113"/>
      <c r="B69" s="1113"/>
      <c r="C69" s="1113"/>
      <c r="D69" s="1113"/>
      <c r="E69" s="1113"/>
      <c r="F69" s="1113"/>
      <c r="G69" s="1113"/>
    </row>
    <row r="70" spans="1:7" s="302" customFormat="1" ht="15.75">
      <c r="A70" s="1113"/>
      <c r="B70" s="1113"/>
      <c r="C70" s="1113"/>
      <c r="D70" s="1113"/>
      <c r="E70" s="1113"/>
      <c r="F70" s="1113"/>
      <c r="G70" s="1113"/>
    </row>
    <row r="71" spans="1:7" s="302" customFormat="1" ht="15.75">
      <c r="A71" s="1113"/>
      <c r="B71" s="1113"/>
      <c r="C71" s="1113"/>
      <c r="D71" s="1113"/>
      <c r="E71" s="1113"/>
      <c r="F71" s="1113"/>
      <c r="G71" s="1113"/>
    </row>
    <row r="72" spans="1:7" s="302" customFormat="1" ht="15.75">
      <c r="A72" s="1113"/>
      <c r="B72" s="1113"/>
      <c r="C72" s="1113"/>
      <c r="D72" s="1113"/>
      <c r="E72" s="1113"/>
      <c r="F72" s="1113"/>
      <c r="G72" s="1113"/>
    </row>
    <row r="73" spans="1:7" s="302" customFormat="1" ht="15.75">
      <c r="A73" s="1113"/>
      <c r="B73" s="1113"/>
      <c r="C73" s="1113"/>
      <c r="D73" s="1113"/>
      <c r="E73" s="1113"/>
      <c r="F73" s="1113"/>
      <c r="G73" s="1113"/>
    </row>
    <row r="74" spans="1:7" s="302" customFormat="1" ht="15.75">
      <c r="A74" s="1106"/>
      <c r="B74" s="1106" t="s">
        <v>2418</v>
      </c>
      <c r="C74" s="1106"/>
      <c r="D74" s="1106"/>
      <c r="E74" s="1106"/>
      <c r="F74" s="1106"/>
      <c r="G74" s="1106"/>
    </row>
    <row r="75" spans="1:7" s="302" customFormat="1" ht="15.75">
      <c r="A75" s="1106"/>
      <c r="B75" s="1114"/>
      <c r="C75" s="1114"/>
      <c r="D75" s="1114"/>
      <c r="E75" s="1114"/>
      <c r="F75" s="1114"/>
      <c r="G75" s="1114"/>
    </row>
    <row r="76" spans="1:7" s="302" customFormat="1" ht="47.25">
      <c r="A76" s="1106"/>
      <c r="B76" s="1106" t="s">
        <v>22</v>
      </c>
      <c r="C76" s="1106"/>
      <c r="D76" s="1106"/>
      <c r="E76" s="1106"/>
      <c r="F76" s="1106"/>
      <c r="G76" s="1106"/>
    </row>
    <row r="77" spans="1:7" s="302" customFormat="1" ht="15.75">
      <c r="A77" s="1106"/>
      <c r="B77" s="1114"/>
      <c r="C77" s="1114"/>
      <c r="D77" s="1114"/>
      <c r="E77" s="1114"/>
      <c r="F77" s="1114"/>
      <c r="G77" s="1114"/>
    </row>
    <row r="78" spans="1:7" s="302" customFormat="1" ht="15.75">
      <c r="A78" s="1106"/>
      <c r="B78" s="1106" t="s">
        <v>23</v>
      </c>
      <c r="C78" s="1106"/>
      <c r="D78" s="1106"/>
      <c r="E78" s="1106"/>
      <c r="F78" s="1106"/>
      <c r="G78" s="1106"/>
    </row>
    <row r="79" spans="1:7" s="302" customFormat="1" ht="47.25">
      <c r="A79" s="1106"/>
      <c r="B79" s="1106" t="s">
        <v>24</v>
      </c>
      <c r="C79" s="1106"/>
      <c r="D79" s="1106"/>
      <c r="E79" s="1106"/>
      <c r="F79" s="1106"/>
      <c r="G79" s="1106"/>
    </row>
    <row r="80" spans="1:7" s="303" customFormat="1" ht="15.75">
      <c r="A80" s="346"/>
      <c r="B80" s="346"/>
      <c r="E80" s="333"/>
    </row>
  </sheetData>
  <mergeCells count="15">
    <mergeCell ref="A14:A22"/>
    <mergeCell ref="B14:B22"/>
    <mergeCell ref="C14:C22"/>
    <mergeCell ref="B1:G1"/>
    <mergeCell ref="A3:A12"/>
    <mergeCell ref="B3:B12"/>
    <mergeCell ref="C3:C12"/>
    <mergeCell ref="C24:C35"/>
    <mergeCell ref="C37:C42"/>
    <mergeCell ref="A44:B44"/>
    <mergeCell ref="A45:B45"/>
    <mergeCell ref="A37:A42"/>
    <mergeCell ref="B37:B42"/>
    <mergeCell ref="A24:A35"/>
    <mergeCell ref="B24:B35"/>
  </mergeCells>
  <phoneticPr fontId="4" type="noConversion"/>
  <pageMargins left="0.7" right="0.7" top="0.75" bottom="0.75" header="0.3" footer="0.3"/>
  <pageSetup paperSize="9" scale="25" orientation="portrait" r:id="rId1"/>
</worksheet>
</file>

<file path=xl/worksheets/sheet6.xml><?xml version="1.0" encoding="utf-8"?>
<worksheet xmlns="http://schemas.openxmlformats.org/spreadsheetml/2006/main" xmlns:r="http://schemas.openxmlformats.org/officeDocument/2006/relationships">
  <sheetPr>
    <tabColor rgb="FF00B050"/>
  </sheetPr>
  <dimension ref="A1:G96"/>
  <sheetViews>
    <sheetView topLeftCell="A70" workbookViewId="0">
      <selection activeCell="B87" sqref="B87"/>
    </sheetView>
  </sheetViews>
  <sheetFormatPr defaultRowHeight="18"/>
  <cols>
    <col min="2" max="2" width="24.85546875" customWidth="1"/>
    <col min="3" max="3" width="11.5703125" style="23" customWidth="1"/>
    <col min="4" max="4" width="53.140625" style="23" customWidth="1"/>
    <col min="5" max="5" width="13.5703125" style="378" customWidth="1"/>
    <col min="6" max="6" width="13.42578125" style="379" customWidth="1"/>
    <col min="7" max="7" width="17.42578125" style="380" customWidth="1"/>
    <col min="8" max="16384" width="9.140625" style="356"/>
  </cols>
  <sheetData>
    <row r="1" spans="1:7" ht="80.25" customHeight="1">
      <c r="A1" s="1161" t="s">
        <v>369</v>
      </c>
      <c r="B1" s="1162"/>
      <c r="C1" s="1162"/>
      <c r="D1" s="1162"/>
      <c r="E1" s="1162"/>
      <c r="F1" s="1162"/>
      <c r="G1" s="1163"/>
    </row>
    <row r="2" spans="1:7" ht="48.75" customHeight="1">
      <c r="A2" s="5" t="s">
        <v>434</v>
      </c>
      <c r="B2" s="5" t="s">
        <v>338</v>
      </c>
      <c r="C2" s="5" t="s">
        <v>771</v>
      </c>
      <c r="D2" s="5" t="s">
        <v>333</v>
      </c>
      <c r="E2" s="5" t="s">
        <v>337</v>
      </c>
      <c r="F2" s="5" t="s">
        <v>770</v>
      </c>
      <c r="G2" s="5" t="s">
        <v>82</v>
      </c>
    </row>
    <row r="3" spans="1:7" ht="49.5">
      <c r="A3" s="1150">
        <v>1</v>
      </c>
      <c r="B3" s="1153" t="s">
        <v>60</v>
      </c>
      <c r="C3" s="1156">
        <f>8/45</f>
        <v>0.17777777777777778</v>
      </c>
      <c r="D3" s="357" t="s">
        <v>1594</v>
      </c>
      <c r="E3" s="358">
        <f>3.5/10</f>
        <v>0.35</v>
      </c>
      <c r="F3" s="359"/>
      <c r="G3" s="360">
        <f>F3*E3</f>
        <v>0</v>
      </c>
    </row>
    <row r="4" spans="1:7" ht="49.5">
      <c r="A4" s="1151"/>
      <c r="B4" s="1154"/>
      <c r="C4" s="1156"/>
      <c r="D4" s="357" t="s">
        <v>370</v>
      </c>
      <c r="E4" s="358">
        <f>1.5/10</f>
        <v>0.15</v>
      </c>
      <c r="F4" s="359"/>
      <c r="G4" s="360">
        <f t="shared" ref="G4:G55" si="0">F4*E4</f>
        <v>0</v>
      </c>
    </row>
    <row r="5" spans="1:7" ht="33">
      <c r="A5" s="1151"/>
      <c r="B5" s="1154"/>
      <c r="C5" s="1156"/>
      <c r="D5" s="357" t="s">
        <v>371</v>
      </c>
      <c r="E5" s="358">
        <f>1.5/10</f>
        <v>0.15</v>
      </c>
      <c r="F5" s="359"/>
      <c r="G5" s="360">
        <f t="shared" si="0"/>
        <v>0</v>
      </c>
    </row>
    <row r="6" spans="1:7" ht="49.5">
      <c r="A6" s="1151"/>
      <c r="B6" s="1154"/>
      <c r="C6" s="1156"/>
      <c r="D6" s="357" t="s">
        <v>372</v>
      </c>
      <c r="E6" s="358">
        <f>3.5/10</f>
        <v>0.35</v>
      </c>
      <c r="F6" s="359"/>
      <c r="G6" s="360">
        <f t="shared" si="0"/>
        <v>0</v>
      </c>
    </row>
    <row r="7" spans="1:7" ht="18.75">
      <c r="A7" s="1152"/>
      <c r="B7" s="1155"/>
      <c r="C7" s="1156"/>
      <c r="D7" s="361"/>
      <c r="E7" s="362">
        <f>SUM(E3:E6)</f>
        <v>1</v>
      </c>
      <c r="F7" s="361"/>
      <c r="G7" s="363">
        <f>SUM(G3:G6)*C3</f>
        <v>0</v>
      </c>
    </row>
    <row r="8" spans="1:7" ht="16.5" customHeight="1">
      <c r="A8" s="1150">
        <v>2</v>
      </c>
      <c r="B8" s="1153" t="s">
        <v>373</v>
      </c>
      <c r="C8" s="1156">
        <f>8/45</f>
        <v>0.17777777777777778</v>
      </c>
      <c r="D8" s="357" t="s">
        <v>374</v>
      </c>
      <c r="E8" s="358">
        <f>1.5/6</f>
        <v>0.25</v>
      </c>
      <c r="F8" s="359"/>
      <c r="G8" s="360">
        <f t="shared" si="0"/>
        <v>0</v>
      </c>
    </row>
    <row r="9" spans="1:7" ht="18.75">
      <c r="A9" s="1151"/>
      <c r="B9" s="1154"/>
      <c r="C9" s="1156"/>
      <c r="D9" s="357" t="s">
        <v>400</v>
      </c>
      <c r="E9" s="358">
        <f>3/6</f>
        <v>0.5</v>
      </c>
      <c r="F9" s="359"/>
      <c r="G9" s="360">
        <f t="shared" si="0"/>
        <v>0</v>
      </c>
    </row>
    <row r="10" spans="1:7" ht="18.75">
      <c r="A10" s="1151"/>
      <c r="B10" s="1154"/>
      <c r="C10" s="1156"/>
      <c r="D10" s="357" t="s">
        <v>375</v>
      </c>
      <c r="E10" s="358">
        <f>1.5/6</f>
        <v>0.25</v>
      </c>
      <c r="F10" s="359"/>
      <c r="G10" s="360">
        <f t="shared" si="0"/>
        <v>0</v>
      </c>
    </row>
    <row r="11" spans="1:7" ht="21.75" customHeight="1">
      <c r="A11" s="1152"/>
      <c r="B11" s="1155"/>
      <c r="C11" s="1156"/>
      <c r="D11" s="364"/>
      <c r="E11" s="365">
        <f>SUM(E8:E10)</f>
        <v>1</v>
      </c>
      <c r="F11" s="361"/>
      <c r="G11" s="363">
        <f>SUM(G8:G10)*C8</f>
        <v>0</v>
      </c>
    </row>
    <row r="12" spans="1:7" ht="16.5" customHeight="1">
      <c r="A12" s="1150">
        <v>3</v>
      </c>
      <c r="B12" s="1153" t="s">
        <v>376</v>
      </c>
      <c r="C12" s="1156">
        <f>8/45</f>
        <v>0.17777777777777778</v>
      </c>
      <c r="D12" s="357" t="s">
        <v>377</v>
      </c>
      <c r="E12" s="358">
        <f>3/6</f>
        <v>0.5</v>
      </c>
      <c r="F12" s="359"/>
      <c r="G12" s="360">
        <f t="shared" si="0"/>
        <v>0</v>
      </c>
    </row>
    <row r="13" spans="1:7" ht="18.75">
      <c r="A13" s="1151"/>
      <c r="B13" s="1154"/>
      <c r="C13" s="1156"/>
      <c r="D13" s="357" t="s">
        <v>402</v>
      </c>
      <c r="E13" s="358">
        <f>1.5/6</f>
        <v>0.25</v>
      </c>
      <c r="F13" s="359"/>
      <c r="G13" s="360">
        <f t="shared" si="0"/>
        <v>0</v>
      </c>
    </row>
    <row r="14" spans="1:7" ht="66">
      <c r="A14" s="1151"/>
      <c r="B14" s="1154"/>
      <c r="C14" s="1156"/>
      <c r="D14" s="357" t="s">
        <v>378</v>
      </c>
      <c r="E14" s="358">
        <f>1.5/6</f>
        <v>0.25</v>
      </c>
      <c r="F14" s="359"/>
      <c r="G14" s="360">
        <f t="shared" si="0"/>
        <v>0</v>
      </c>
    </row>
    <row r="15" spans="1:7" ht="18.75">
      <c r="A15" s="1152"/>
      <c r="B15" s="1155"/>
      <c r="C15" s="1156"/>
      <c r="D15" s="366"/>
      <c r="E15" s="365">
        <f>SUM(E12:E14)</f>
        <v>1</v>
      </c>
      <c r="F15" s="361"/>
      <c r="G15" s="363">
        <f>SUM(G12:G14)*C12</f>
        <v>0</v>
      </c>
    </row>
    <row r="16" spans="1:7" ht="24" customHeight="1">
      <c r="A16" s="1150">
        <v>4</v>
      </c>
      <c r="B16" s="1153" t="s">
        <v>379</v>
      </c>
      <c r="C16" s="1156">
        <f>5.5/45</f>
        <v>0.12222222222222222</v>
      </c>
      <c r="D16" s="357" t="s">
        <v>403</v>
      </c>
      <c r="E16" s="358">
        <f>1.5/6</f>
        <v>0.25</v>
      </c>
      <c r="F16" s="359"/>
      <c r="G16" s="360">
        <f t="shared" si="0"/>
        <v>0</v>
      </c>
    </row>
    <row r="17" spans="1:7" ht="33">
      <c r="A17" s="1151"/>
      <c r="B17" s="1154"/>
      <c r="C17" s="1156"/>
      <c r="D17" s="357" t="s">
        <v>380</v>
      </c>
      <c r="E17" s="358">
        <f>3/6</f>
        <v>0.5</v>
      </c>
      <c r="F17" s="359"/>
      <c r="G17" s="360">
        <f t="shared" si="0"/>
        <v>0</v>
      </c>
    </row>
    <row r="18" spans="1:7" ht="18.75">
      <c r="A18" s="1151"/>
      <c r="B18" s="1154"/>
      <c r="C18" s="1156"/>
      <c r="D18" s="357" t="s">
        <v>381</v>
      </c>
      <c r="E18" s="358">
        <f>1.5/6</f>
        <v>0.25</v>
      </c>
      <c r="F18" s="359"/>
      <c r="G18" s="360">
        <f t="shared" si="0"/>
        <v>0</v>
      </c>
    </row>
    <row r="19" spans="1:7" ht="18.75">
      <c r="A19" s="1152"/>
      <c r="B19" s="1155"/>
      <c r="C19" s="1156"/>
      <c r="D19" s="364"/>
      <c r="E19" s="365">
        <f>SUM(E16:E18)</f>
        <v>1</v>
      </c>
      <c r="F19" s="361"/>
      <c r="G19" s="363">
        <f>SUM(G16:G18)*C16</f>
        <v>0</v>
      </c>
    </row>
    <row r="20" spans="1:7" ht="16.5" customHeight="1">
      <c r="A20" s="1150">
        <v>5</v>
      </c>
      <c r="B20" s="1153" t="s">
        <v>382</v>
      </c>
      <c r="C20" s="1156">
        <f>5.5/45</f>
        <v>0.12222222222222222</v>
      </c>
      <c r="D20" s="357" t="s">
        <v>403</v>
      </c>
      <c r="E20" s="358">
        <f>3/28</f>
        <v>0.10714285714285714</v>
      </c>
      <c r="F20" s="359"/>
      <c r="G20" s="360">
        <f t="shared" si="0"/>
        <v>0</v>
      </c>
    </row>
    <row r="21" spans="1:7" ht="32.25" customHeight="1">
      <c r="A21" s="1151"/>
      <c r="B21" s="1154"/>
      <c r="C21" s="1156"/>
      <c r="D21" s="357" t="s">
        <v>383</v>
      </c>
      <c r="E21" s="358">
        <f>6.5/28</f>
        <v>0.23214285714285715</v>
      </c>
      <c r="F21" s="359"/>
      <c r="G21" s="360">
        <f t="shared" si="0"/>
        <v>0</v>
      </c>
    </row>
    <row r="22" spans="1:7" ht="18.75">
      <c r="A22" s="1151"/>
      <c r="B22" s="1154"/>
      <c r="C22" s="1156"/>
      <c r="D22" s="357" t="s">
        <v>384</v>
      </c>
      <c r="E22" s="358">
        <f>4.5/28</f>
        <v>0.16071428571428573</v>
      </c>
      <c r="F22" s="359"/>
      <c r="G22" s="360">
        <f t="shared" si="0"/>
        <v>0</v>
      </c>
    </row>
    <row r="23" spans="1:7" ht="33">
      <c r="A23" s="1151"/>
      <c r="B23" s="1154"/>
      <c r="C23" s="1156"/>
      <c r="D23" s="357" t="s">
        <v>385</v>
      </c>
      <c r="E23" s="358">
        <f>6.5/28</f>
        <v>0.23214285714285715</v>
      </c>
      <c r="F23" s="359"/>
      <c r="G23" s="360">
        <f t="shared" si="0"/>
        <v>0</v>
      </c>
    </row>
    <row r="24" spans="1:7" ht="33">
      <c r="A24" s="1151"/>
      <c r="B24" s="1154"/>
      <c r="C24" s="1156"/>
      <c r="D24" s="357" t="s">
        <v>386</v>
      </c>
      <c r="E24" s="358">
        <f>4.5/28</f>
        <v>0.16071428571428573</v>
      </c>
      <c r="F24" s="359"/>
      <c r="G24" s="360">
        <f t="shared" si="0"/>
        <v>0</v>
      </c>
    </row>
    <row r="25" spans="1:7" ht="19.5" customHeight="1">
      <c r="A25" s="1151"/>
      <c r="B25" s="1154"/>
      <c r="C25" s="1156"/>
      <c r="D25" s="367" t="s">
        <v>246</v>
      </c>
      <c r="E25" s="358">
        <f>2/28</f>
        <v>7.1428571428571425E-2</v>
      </c>
      <c r="F25" s="368"/>
      <c r="G25" s="360">
        <f t="shared" si="0"/>
        <v>0</v>
      </c>
    </row>
    <row r="26" spans="1:7" ht="18.75">
      <c r="A26" s="1151"/>
      <c r="B26" s="1154"/>
      <c r="C26" s="1156"/>
      <c r="D26" s="357" t="s">
        <v>405</v>
      </c>
      <c r="E26" s="358">
        <f>1/28</f>
        <v>3.5714285714285712E-2</v>
      </c>
      <c r="F26" s="359"/>
      <c r="G26" s="360">
        <f t="shared" si="0"/>
        <v>0</v>
      </c>
    </row>
    <row r="27" spans="1:7" ht="18.75">
      <c r="A27" s="1152"/>
      <c r="B27" s="1155"/>
      <c r="C27" s="1156"/>
      <c r="D27" s="364"/>
      <c r="E27" s="365">
        <f>SUM(E20:E26)</f>
        <v>1</v>
      </c>
      <c r="F27" s="361"/>
      <c r="G27" s="363">
        <f>SUM(G20:G26)*C20</f>
        <v>0</v>
      </c>
    </row>
    <row r="28" spans="1:7" ht="20.25" customHeight="1">
      <c r="A28" s="1150">
        <v>6</v>
      </c>
      <c r="B28" s="1153" t="s">
        <v>387</v>
      </c>
      <c r="C28" s="1156">
        <f>2.5/45</f>
        <v>5.5555555555555552E-2</v>
      </c>
      <c r="D28" s="357" t="s">
        <v>388</v>
      </c>
      <c r="E28" s="358">
        <f>12/91</f>
        <v>0.13186813186813187</v>
      </c>
      <c r="F28" s="359"/>
      <c r="G28" s="360">
        <f t="shared" si="0"/>
        <v>0</v>
      </c>
    </row>
    <row r="29" spans="1:7" ht="34.5" customHeight="1">
      <c r="A29" s="1151"/>
      <c r="B29" s="1154"/>
      <c r="C29" s="1156"/>
      <c r="D29" s="357" t="s">
        <v>389</v>
      </c>
      <c r="E29" s="358">
        <f>12/91</f>
        <v>0.13186813186813187</v>
      </c>
      <c r="F29" s="359"/>
      <c r="G29" s="360">
        <f t="shared" si="0"/>
        <v>0</v>
      </c>
    </row>
    <row r="30" spans="1:7" ht="37.5" customHeight="1">
      <c r="A30" s="1151"/>
      <c r="B30" s="1154"/>
      <c r="C30" s="1156"/>
      <c r="D30" s="357" t="s">
        <v>408</v>
      </c>
      <c r="E30" s="358">
        <f>9/91</f>
        <v>9.8901098901098897E-2</v>
      </c>
      <c r="F30" s="369"/>
      <c r="G30" s="360">
        <f t="shared" si="0"/>
        <v>0</v>
      </c>
    </row>
    <row r="31" spans="1:7" ht="18.75">
      <c r="A31" s="1151"/>
      <c r="B31" s="1154"/>
      <c r="C31" s="1156"/>
      <c r="D31" s="370" t="s">
        <v>390</v>
      </c>
      <c r="E31" s="358">
        <f>9/91</f>
        <v>9.8901098901098897E-2</v>
      </c>
      <c r="F31" s="359"/>
      <c r="G31" s="360">
        <f t="shared" si="0"/>
        <v>0</v>
      </c>
    </row>
    <row r="32" spans="1:7" ht="33">
      <c r="A32" s="1151"/>
      <c r="B32" s="1154"/>
      <c r="C32" s="1156"/>
      <c r="D32" s="357" t="s">
        <v>391</v>
      </c>
      <c r="E32" s="358">
        <f>6.5/91</f>
        <v>7.1428571428571425E-2</v>
      </c>
      <c r="F32" s="359"/>
      <c r="G32" s="360">
        <f t="shared" si="0"/>
        <v>0</v>
      </c>
    </row>
    <row r="33" spans="1:7" ht="35.25" customHeight="1">
      <c r="A33" s="1151"/>
      <c r="B33" s="1154"/>
      <c r="C33" s="1156"/>
      <c r="D33" s="357" t="s">
        <v>392</v>
      </c>
      <c r="E33" s="358">
        <f>1/91</f>
        <v>1.098901098901099E-2</v>
      </c>
      <c r="F33" s="359"/>
      <c r="G33" s="360">
        <f t="shared" si="0"/>
        <v>0</v>
      </c>
    </row>
    <row r="34" spans="1:7" ht="18.75">
      <c r="A34" s="1151"/>
      <c r="B34" s="1154"/>
      <c r="C34" s="1156"/>
      <c r="D34" s="357" t="s">
        <v>393</v>
      </c>
      <c r="E34" s="358">
        <f>6.5/91</f>
        <v>7.1428571428571425E-2</v>
      </c>
      <c r="F34" s="359"/>
      <c r="G34" s="360">
        <f t="shared" si="0"/>
        <v>0</v>
      </c>
    </row>
    <row r="35" spans="1:7" ht="33">
      <c r="A35" s="1151"/>
      <c r="B35" s="1154"/>
      <c r="C35" s="1156"/>
      <c r="D35" s="357" t="s">
        <v>406</v>
      </c>
      <c r="E35" s="358">
        <f>2/91</f>
        <v>2.197802197802198E-2</v>
      </c>
      <c r="F35" s="359"/>
      <c r="G35" s="360">
        <f t="shared" si="0"/>
        <v>0</v>
      </c>
    </row>
    <row r="36" spans="1:7" ht="33">
      <c r="A36" s="1151"/>
      <c r="B36" s="1154"/>
      <c r="C36" s="1156"/>
      <c r="D36" s="357" t="s">
        <v>407</v>
      </c>
      <c r="E36" s="358">
        <f>4.5/91</f>
        <v>4.9450549450549448E-2</v>
      </c>
      <c r="F36" s="359"/>
      <c r="G36" s="360">
        <f t="shared" si="0"/>
        <v>0</v>
      </c>
    </row>
    <row r="37" spans="1:7" ht="36" customHeight="1">
      <c r="A37" s="1151"/>
      <c r="B37" s="1154"/>
      <c r="C37" s="1156"/>
      <c r="D37" s="357" t="s">
        <v>394</v>
      </c>
      <c r="E37" s="358">
        <f>9/91</f>
        <v>9.8901098901098897E-2</v>
      </c>
      <c r="F37" s="359"/>
      <c r="G37" s="360">
        <f t="shared" si="0"/>
        <v>0</v>
      </c>
    </row>
    <row r="38" spans="1:7" ht="21.75" customHeight="1">
      <c r="A38" s="1151"/>
      <c r="B38" s="1154"/>
      <c r="C38" s="1156"/>
      <c r="D38" s="371" t="s">
        <v>395</v>
      </c>
      <c r="E38" s="358">
        <f>3/91</f>
        <v>3.2967032967032968E-2</v>
      </c>
      <c r="F38" s="372"/>
      <c r="G38" s="360">
        <f t="shared" si="0"/>
        <v>0</v>
      </c>
    </row>
    <row r="39" spans="1:7" ht="27.75" customHeight="1">
      <c r="A39" s="1151"/>
      <c r="B39" s="1154"/>
      <c r="C39" s="1156"/>
      <c r="D39" s="371" t="s">
        <v>396</v>
      </c>
      <c r="E39" s="358">
        <f>12/91</f>
        <v>0.13186813186813187</v>
      </c>
      <c r="F39" s="372"/>
      <c r="G39" s="360">
        <f t="shared" si="0"/>
        <v>0</v>
      </c>
    </row>
    <row r="40" spans="1:7" ht="33">
      <c r="A40" s="1151"/>
      <c r="B40" s="1154"/>
      <c r="C40" s="1156"/>
      <c r="D40" s="371" t="s">
        <v>397</v>
      </c>
      <c r="E40" s="358">
        <f>4.5/91</f>
        <v>4.9450549450549448E-2</v>
      </c>
      <c r="F40" s="372"/>
      <c r="G40" s="360">
        <f t="shared" si="0"/>
        <v>0</v>
      </c>
    </row>
    <row r="41" spans="1:7" ht="18" customHeight="1">
      <c r="A41" s="1152"/>
      <c r="B41" s="1155"/>
      <c r="C41" s="1156"/>
      <c r="D41" s="364"/>
      <c r="E41" s="365">
        <f>SUM(E28:E40)</f>
        <v>1</v>
      </c>
      <c r="F41" s="361"/>
      <c r="G41" s="363">
        <f>SUM(G28:G40)*C28</f>
        <v>0</v>
      </c>
    </row>
    <row r="42" spans="1:7" ht="33" customHeight="1">
      <c r="A42" s="1150">
        <v>7</v>
      </c>
      <c r="B42" s="1153" t="s">
        <v>409</v>
      </c>
      <c r="C42" s="1156">
        <f>2.5/45</f>
        <v>5.5555555555555552E-2</v>
      </c>
      <c r="D42" s="357" t="s">
        <v>1062</v>
      </c>
      <c r="E42" s="358">
        <f>2/3</f>
        <v>0.66666666666666663</v>
      </c>
      <c r="F42" s="359"/>
      <c r="G42" s="360">
        <f t="shared" si="0"/>
        <v>0</v>
      </c>
    </row>
    <row r="43" spans="1:7" ht="33">
      <c r="A43" s="1151"/>
      <c r="B43" s="1154"/>
      <c r="C43" s="1156"/>
      <c r="D43" s="357" t="s">
        <v>410</v>
      </c>
      <c r="E43" s="358">
        <f>1/3</f>
        <v>0.33333333333333331</v>
      </c>
      <c r="F43" s="359"/>
      <c r="G43" s="360">
        <f t="shared" si="0"/>
        <v>0</v>
      </c>
    </row>
    <row r="44" spans="1:7" ht="18.75">
      <c r="A44" s="1152"/>
      <c r="B44" s="1155"/>
      <c r="C44" s="1156"/>
      <c r="D44" s="364"/>
      <c r="E44" s="365">
        <f>SUM(E42:E43)</f>
        <v>1</v>
      </c>
      <c r="F44" s="361"/>
      <c r="G44" s="363">
        <f>SUM(G42:G43)*C42</f>
        <v>0</v>
      </c>
    </row>
    <row r="45" spans="1:7" ht="33" customHeight="1">
      <c r="A45" s="1158">
        <v>8</v>
      </c>
      <c r="B45" s="1153" t="s">
        <v>418</v>
      </c>
      <c r="C45" s="1156">
        <f>2.5/45</f>
        <v>5.5555555555555552E-2</v>
      </c>
      <c r="D45" s="357" t="s">
        <v>1063</v>
      </c>
      <c r="E45" s="358">
        <f>3.5/10</f>
        <v>0.35</v>
      </c>
      <c r="F45" s="359"/>
      <c r="G45" s="360">
        <f t="shared" si="0"/>
        <v>0</v>
      </c>
    </row>
    <row r="46" spans="1:7" ht="33.75" customHeight="1">
      <c r="A46" s="1159"/>
      <c r="B46" s="1154"/>
      <c r="C46" s="1156"/>
      <c r="D46" s="357" t="s">
        <v>1064</v>
      </c>
      <c r="E46" s="358">
        <f>3.5/10</f>
        <v>0.35</v>
      </c>
      <c r="F46" s="359"/>
      <c r="G46" s="360">
        <f t="shared" si="0"/>
        <v>0</v>
      </c>
    </row>
    <row r="47" spans="1:7" ht="33.75" customHeight="1">
      <c r="A47" s="1159"/>
      <c r="B47" s="1154"/>
      <c r="C47" s="1156"/>
      <c r="D47" s="357" t="s">
        <v>1065</v>
      </c>
      <c r="E47" s="358">
        <f>1.5/10</f>
        <v>0.15</v>
      </c>
      <c r="F47" s="359"/>
      <c r="G47" s="360">
        <f t="shared" si="0"/>
        <v>0</v>
      </c>
    </row>
    <row r="48" spans="1:7" ht="18.75">
      <c r="A48" s="1159"/>
      <c r="B48" s="1154"/>
      <c r="C48" s="1156"/>
      <c r="D48" s="373" t="s">
        <v>1066</v>
      </c>
      <c r="E48" s="358">
        <f>0.15</f>
        <v>0.15</v>
      </c>
      <c r="F48" s="372"/>
      <c r="G48" s="360">
        <f t="shared" si="0"/>
        <v>0</v>
      </c>
    </row>
    <row r="49" spans="1:7" ht="16.5" customHeight="1">
      <c r="A49" s="1160"/>
      <c r="B49" s="1155"/>
      <c r="C49" s="1156"/>
      <c r="D49" s="364"/>
      <c r="E49" s="365">
        <f>SUM(E45:E48)</f>
        <v>1</v>
      </c>
      <c r="F49" s="361"/>
      <c r="G49" s="363">
        <f>SUM(G45:G48)*C45</f>
        <v>0</v>
      </c>
    </row>
    <row r="50" spans="1:7" ht="21" customHeight="1">
      <c r="A50" s="1150">
        <v>9</v>
      </c>
      <c r="B50" s="1153" t="s">
        <v>1067</v>
      </c>
      <c r="C50" s="1156">
        <f>2.5/45</f>
        <v>5.5555555555555552E-2</v>
      </c>
      <c r="D50" s="357" t="s">
        <v>1068</v>
      </c>
      <c r="E50" s="358">
        <f>3/21</f>
        <v>0.14285714285714285</v>
      </c>
      <c r="F50" s="359"/>
      <c r="G50" s="360">
        <f t="shared" si="0"/>
        <v>0</v>
      </c>
    </row>
    <row r="51" spans="1:7" ht="33">
      <c r="A51" s="1151"/>
      <c r="B51" s="1154"/>
      <c r="C51" s="1156"/>
      <c r="D51" s="357" t="s">
        <v>1069</v>
      </c>
      <c r="E51" s="358">
        <f>5/21</f>
        <v>0.23809523809523808</v>
      </c>
      <c r="F51" s="359"/>
      <c r="G51" s="360">
        <f t="shared" si="0"/>
        <v>0</v>
      </c>
    </row>
    <row r="52" spans="1:7" ht="33">
      <c r="A52" s="1151"/>
      <c r="B52" s="1154"/>
      <c r="C52" s="1156"/>
      <c r="D52" s="357" t="s">
        <v>1070</v>
      </c>
      <c r="E52" s="358">
        <f>1/21</f>
        <v>4.7619047619047616E-2</v>
      </c>
      <c r="F52" s="359"/>
      <c r="G52" s="360">
        <f t="shared" si="0"/>
        <v>0</v>
      </c>
    </row>
    <row r="53" spans="1:7" ht="33">
      <c r="A53" s="1151"/>
      <c r="B53" s="1154"/>
      <c r="C53" s="1156"/>
      <c r="D53" s="357" t="s">
        <v>1071</v>
      </c>
      <c r="E53" s="358">
        <f>2/21</f>
        <v>9.5238095238095233E-2</v>
      </c>
      <c r="F53" s="359"/>
      <c r="G53" s="360">
        <f t="shared" si="0"/>
        <v>0</v>
      </c>
    </row>
    <row r="54" spans="1:7" ht="18.75">
      <c r="A54" s="1151"/>
      <c r="B54" s="1154"/>
      <c r="C54" s="1156"/>
      <c r="D54" s="357" t="s">
        <v>1072</v>
      </c>
      <c r="E54" s="358">
        <f>5/21</f>
        <v>0.23809523809523808</v>
      </c>
      <c r="F54" s="374"/>
      <c r="G54" s="360">
        <f t="shared" si="0"/>
        <v>0</v>
      </c>
    </row>
    <row r="55" spans="1:7" ht="33">
      <c r="A55" s="1151"/>
      <c r="B55" s="1154"/>
      <c r="C55" s="1156"/>
      <c r="D55" s="357" t="s">
        <v>1073</v>
      </c>
      <c r="E55" s="358">
        <f>5/21</f>
        <v>0.23809523809523808</v>
      </c>
      <c r="F55" s="374"/>
      <c r="G55" s="360">
        <f t="shared" si="0"/>
        <v>0</v>
      </c>
    </row>
    <row r="56" spans="1:7" ht="18.75">
      <c r="A56" s="1152"/>
      <c r="B56" s="1155"/>
      <c r="C56" s="1156"/>
      <c r="D56" s="364"/>
      <c r="E56" s="362">
        <f>SUM(E50:E55)</f>
        <v>1</v>
      </c>
      <c r="F56" s="375"/>
      <c r="G56" s="363">
        <f>SUM(G50:G55)*C50</f>
        <v>0</v>
      </c>
    </row>
    <row r="57" spans="1:7" ht="23.25" customHeight="1">
      <c r="A57" s="1157" t="s">
        <v>443</v>
      </c>
      <c r="B57" s="1157"/>
      <c r="C57" s="1157"/>
      <c r="D57" s="1157"/>
      <c r="E57" s="1157"/>
      <c r="F57" s="376"/>
      <c r="G57" s="360">
        <f>G7+G11+G15+G19+G27+G41+G44+G49+G56</f>
        <v>0</v>
      </c>
    </row>
    <row r="58" spans="1:7" s="25" customFormat="1" ht="15.75">
      <c r="A58" s="26"/>
      <c r="B58" s="26" t="s">
        <v>444</v>
      </c>
      <c r="C58" s="10"/>
      <c r="D58" s="10"/>
      <c r="E58" s="11"/>
      <c r="F58" s="3"/>
      <c r="G58" s="21" t="str">
        <f>IF(G57&lt;=0.5,"низький",IF(G57&lt;=0.75,"середній",(IF(G57&lt;=0.95,"достатній",(IF(G57&lt;=1,"високий"))))))</f>
        <v>низький</v>
      </c>
    </row>
    <row r="59" spans="1:7" s="302" customFormat="1" ht="15.75">
      <c r="A59" s="288" t="s">
        <v>182</v>
      </c>
      <c r="B59" s="289"/>
      <c r="C59" s="342"/>
      <c r="E59" s="343"/>
      <c r="F59" s="344"/>
      <c r="G59" s="112"/>
    </row>
    <row r="60" spans="1:7" s="302" customFormat="1" ht="17.25">
      <c r="A60" s="345" t="s">
        <v>589</v>
      </c>
      <c r="B60" s="346"/>
      <c r="C60" s="347"/>
      <c r="D60" s="303"/>
      <c r="E60" s="348"/>
      <c r="F60" s="349"/>
      <c r="G60" s="112"/>
    </row>
    <row r="61" spans="1:7" s="302" customFormat="1" ht="17.25">
      <c r="A61" s="345" t="s">
        <v>590</v>
      </c>
      <c r="B61" s="346"/>
      <c r="C61" s="347"/>
      <c r="D61" s="303"/>
      <c r="E61" s="348"/>
      <c r="F61" s="349"/>
      <c r="G61" s="112"/>
    </row>
    <row r="62" spans="1:7" s="302" customFormat="1" ht="17.25">
      <c r="A62" s="345" t="s">
        <v>591</v>
      </c>
      <c r="B62" s="346"/>
      <c r="C62" s="347"/>
      <c r="D62" s="303"/>
      <c r="E62" s="348"/>
      <c r="F62" s="349"/>
      <c r="G62" s="112"/>
    </row>
    <row r="63" spans="1:7" s="302" customFormat="1" ht="17.25">
      <c r="A63" s="345" t="s">
        <v>592</v>
      </c>
      <c r="B63" s="346"/>
      <c r="C63" s="347"/>
      <c r="D63" s="303"/>
      <c r="E63" s="348"/>
      <c r="F63" s="349"/>
      <c r="G63" s="112"/>
    </row>
    <row r="64" spans="1:7" s="302" customFormat="1" ht="17.25">
      <c r="A64" s="345" t="s">
        <v>593</v>
      </c>
      <c r="B64" s="346"/>
      <c r="C64" s="347"/>
      <c r="D64" s="303"/>
      <c r="E64" s="348"/>
      <c r="F64" s="349"/>
      <c r="G64" s="112"/>
    </row>
    <row r="65" spans="1:7" s="302" customFormat="1" ht="17.25">
      <c r="A65" s="345" t="s">
        <v>594</v>
      </c>
      <c r="B65" s="346"/>
      <c r="C65" s="347"/>
      <c r="D65" s="303"/>
      <c r="E65" s="348"/>
      <c r="F65" s="349"/>
      <c r="G65" s="112"/>
    </row>
    <row r="66" spans="1:7" s="302" customFormat="1" ht="17.25">
      <c r="A66" s="345" t="s">
        <v>595</v>
      </c>
      <c r="B66" s="346"/>
      <c r="C66" s="347"/>
      <c r="D66" s="303"/>
      <c r="E66" s="348"/>
      <c r="F66" s="349"/>
      <c r="G66" s="112"/>
    </row>
    <row r="67" spans="1:7" s="302" customFormat="1" ht="15.75">
      <c r="A67" s="350" t="s">
        <v>596</v>
      </c>
      <c r="B67" s="346"/>
      <c r="C67" s="347"/>
      <c r="D67" s="303"/>
      <c r="E67" s="348"/>
      <c r="F67" s="349"/>
      <c r="G67" s="112"/>
    </row>
    <row r="68" spans="1:7" s="302" customFormat="1" ht="15.75">
      <c r="A68" s="345" t="s">
        <v>597</v>
      </c>
      <c r="B68" s="346"/>
      <c r="C68" s="347"/>
      <c r="D68" s="303"/>
      <c r="E68" s="348"/>
      <c r="F68" s="349"/>
      <c r="G68" s="112"/>
    </row>
    <row r="69" spans="1:7" s="302" customFormat="1" ht="15.75">
      <c r="A69" s="288" t="s">
        <v>792</v>
      </c>
      <c r="B69" s="346"/>
      <c r="C69" s="347"/>
      <c r="D69" s="303"/>
      <c r="E69" s="348"/>
      <c r="F69" s="349"/>
      <c r="G69" s="112"/>
    </row>
    <row r="70" spans="1:7" s="302" customFormat="1" ht="15.75">
      <c r="A70" s="288" t="s">
        <v>793</v>
      </c>
      <c r="B70" s="346"/>
      <c r="C70" s="347"/>
      <c r="D70" s="303"/>
      <c r="E70" s="348"/>
      <c r="F70" s="349"/>
      <c r="G70" s="112"/>
    </row>
    <row r="71" spans="1:7" s="302" customFormat="1" ht="15.75">
      <c r="A71" s="288" t="s">
        <v>794</v>
      </c>
      <c r="B71" s="346"/>
      <c r="C71" s="347"/>
      <c r="D71" s="303"/>
      <c r="E71" s="348"/>
      <c r="F71" s="349"/>
      <c r="G71" s="112"/>
    </row>
    <row r="72" spans="1:7" s="302" customFormat="1" ht="15.75">
      <c r="A72" s="342"/>
      <c r="B72" s="342" t="s">
        <v>20</v>
      </c>
      <c r="C72" s="342"/>
      <c r="D72" s="342"/>
      <c r="E72" s="342"/>
      <c r="F72" s="342"/>
      <c r="G72" s="342"/>
    </row>
    <row r="73" spans="1:7" s="302" customFormat="1" ht="15.75">
      <c r="A73" s="351"/>
      <c r="B73" s="351"/>
      <c r="C73" s="351"/>
      <c r="D73" s="351"/>
      <c r="E73" s="351"/>
      <c r="F73" s="351"/>
      <c r="G73" s="351"/>
    </row>
    <row r="74" spans="1:7" s="302" customFormat="1" ht="15.75">
      <c r="A74" s="351"/>
      <c r="B74" s="351"/>
      <c r="C74" s="351"/>
      <c r="D74" s="351"/>
      <c r="E74" s="351"/>
      <c r="F74" s="351"/>
      <c r="G74" s="351"/>
    </row>
    <row r="75" spans="1:7" s="302" customFormat="1" ht="15.75">
      <c r="A75" s="351"/>
      <c r="B75" s="351"/>
      <c r="C75" s="351"/>
      <c r="D75" s="351"/>
      <c r="E75" s="351"/>
      <c r="F75" s="351"/>
      <c r="G75" s="351"/>
    </row>
    <row r="76" spans="1:7" s="302" customFormat="1" ht="15.75">
      <c r="A76" s="351"/>
      <c r="B76" s="351"/>
      <c r="C76" s="351"/>
      <c r="D76" s="351"/>
      <c r="E76" s="351"/>
      <c r="F76" s="351"/>
      <c r="G76" s="351"/>
    </row>
    <row r="77" spans="1:7" s="302" customFormat="1" ht="15.75">
      <c r="A77" s="351"/>
      <c r="B77" s="351"/>
      <c r="C77" s="351"/>
      <c r="D77" s="351"/>
      <c r="E77" s="351"/>
      <c r="F77" s="351"/>
      <c r="G77" s="351"/>
    </row>
    <row r="78" spans="1:7" s="302" customFormat="1" ht="15.75">
      <c r="A78" s="351"/>
      <c r="B78" s="351"/>
      <c r="C78" s="351"/>
      <c r="D78" s="351"/>
      <c r="E78" s="351"/>
      <c r="F78" s="351"/>
      <c r="G78" s="351"/>
    </row>
    <row r="79" spans="1:7" s="302" customFormat="1" ht="15.75">
      <c r="A79" s="351"/>
      <c r="B79" s="351"/>
      <c r="C79" s="351"/>
      <c r="D79" s="351"/>
      <c r="E79" s="351"/>
      <c r="F79" s="351"/>
      <c r="G79" s="351"/>
    </row>
    <row r="80" spans="1:7" s="302" customFormat="1" ht="15.75">
      <c r="A80" s="351"/>
      <c r="B80" s="351"/>
      <c r="C80" s="351"/>
      <c r="D80" s="351"/>
      <c r="E80" s="351"/>
      <c r="F80" s="351"/>
      <c r="G80" s="351"/>
    </row>
    <row r="81" spans="1:7" s="302" customFormat="1" ht="15.75">
      <c r="A81" s="351"/>
      <c r="B81" s="351"/>
      <c r="C81" s="351"/>
      <c r="D81" s="351"/>
      <c r="E81" s="351"/>
      <c r="F81" s="351"/>
      <c r="G81" s="351"/>
    </row>
    <row r="82" spans="1:7" s="302" customFormat="1" ht="15.75">
      <c r="A82" s="351"/>
      <c r="B82" s="351"/>
      <c r="C82" s="351"/>
      <c r="D82" s="351"/>
      <c r="E82" s="351"/>
      <c r="F82" s="351"/>
      <c r="G82" s="351"/>
    </row>
    <row r="83" spans="1:7" s="302" customFormat="1" ht="15.75">
      <c r="A83" s="351"/>
      <c r="B83" s="351"/>
      <c r="C83" s="351"/>
      <c r="D83" s="351"/>
      <c r="E83" s="351"/>
      <c r="F83" s="351"/>
      <c r="G83" s="351"/>
    </row>
    <row r="84" spans="1:7" s="302" customFormat="1" ht="15.75">
      <c r="A84" s="351"/>
      <c r="B84" s="351"/>
      <c r="C84" s="351"/>
      <c r="D84" s="351"/>
      <c r="E84" s="351"/>
      <c r="F84" s="351"/>
      <c r="G84" s="351"/>
    </row>
    <row r="85" spans="1:7" s="302" customFormat="1" ht="15.75">
      <c r="A85" s="351"/>
      <c r="B85" s="351"/>
      <c r="C85" s="351"/>
      <c r="D85" s="351"/>
      <c r="E85" s="351"/>
      <c r="F85" s="351"/>
      <c r="G85" s="351"/>
    </row>
    <row r="86" spans="1:7" s="302" customFormat="1" ht="15.75">
      <c r="A86" s="351"/>
      <c r="B86" s="351"/>
      <c r="C86" s="351"/>
      <c r="D86" s="351"/>
      <c r="E86" s="351"/>
      <c r="F86" s="351"/>
      <c r="G86" s="351"/>
    </row>
    <row r="87" spans="1:7" s="302" customFormat="1" ht="15.75">
      <c r="A87" s="342"/>
      <c r="B87" s="352" t="s">
        <v>2418</v>
      </c>
      <c r="C87" s="352"/>
      <c r="D87" s="352"/>
      <c r="E87" s="352"/>
      <c r="F87" s="352"/>
      <c r="G87" s="352"/>
    </row>
    <row r="88" spans="1:7" s="302" customFormat="1" ht="15.75">
      <c r="A88" s="342"/>
      <c r="B88" s="353"/>
      <c r="C88" s="353"/>
      <c r="D88" s="353"/>
      <c r="E88" s="353"/>
      <c r="F88" s="353"/>
      <c r="G88" s="353"/>
    </row>
    <row r="89" spans="1:7" s="302" customFormat="1" ht="15.75">
      <c r="A89" s="342"/>
      <c r="B89" s="352" t="s">
        <v>22</v>
      </c>
      <c r="C89" s="352"/>
      <c r="D89" s="352"/>
      <c r="E89" s="352"/>
      <c r="F89" s="352"/>
      <c r="G89" s="352"/>
    </row>
    <row r="90" spans="1:7" s="302" customFormat="1" ht="15.75">
      <c r="A90" s="342"/>
      <c r="B90" s="353"/>
      <c r="C90" s="353"/>
      <c r="D90" s="353"/>
      <c r="E90" s="353"/>
      <c r="F90" s="353"/>
      <c r="G90" s="353"/>
    </row>
    <row r="91" spans="1:7" s="302" customFormat="1" ht="15.75">
      <c r="A91" s="342"/>
      <c r="B91" s="352" t="s">
        <v>23</v>
      </c>
      <c r="C91" s="352"/>
      <c r="D91" s="352"/>
      <c r="E91" s="352"/>
      <c r="F91" s="352"/>
      <c r="G91" s="352"/>
    </row>
    <row r="92" spans="1:7" s="302" customFormat="1" ht="15.75">
      <c r="A92" s="342"/>
      <c r="B92" s="352" t="s">
        <v>24</v>
      </c>
      <c r="C92" s="352"/>
      <c r="D92" s="352"/>
      <c r="E92" s="352"/>
      <c r="F92" s="352"/>
      <c r="G92" s="352"/>
    </row>
    <row r="93" spans="1:7" s="303" customFormat="1" ht="15.75">
      <c r="A93" s="346"/>
      <c r="B93" s="346"/>
      <c r="E93" s="333"/>
    </row>
    <row r="94" spans="1:7" s="101" customFormat="1" ht="15.75">
      <c r="A94" s="290"/>
      <c r="B94" s="289"/>
      <c r="C94" s="63"/>
      <c r="E94" s="63"/>
    </row>
    <row r="95" spans="1:7" s="101" customFormat="1" ht="15.75">
      <c r="A95" s="290"/>
      <c r="B95" s="289"/>
      <c r="C95" s="63"/>
      <c r="E95" s="63"/>
    </row>
    <row r="96" spans="1:7" s="101" customFormat="1" ht="15.75">
      <c r="A96" s="290"/>
      <c r="B96" s="289"/>
      <c r="C96" s="63"/>
      <c r="E96" s="63"/>
    </row>
  </sheetData>
  <mergeCells count="29">
    <mergeCell ref="A8:A11"/>
    <mergeCell ref="B8:B11"/>
    <mergeCell ref="C8:C11"/>
    <mergeCell ref="A1:G1"/>
    <mergeCell ref="A3:A7"/>
    <mergeCell ref="B3:B7"/>
    <mergeCell ref="C3:C7"/>
    <mergeCell ref="A12:A15"/>
    <mergeCell ref="B12:B15"/>
    <mergeCell ref="C12:C15"/>
    <mergeCell ref="A16:A19"/>
    <mergeCell ref="B16:B19"/>
    <mergeCell ref="C16:C19"/>
    <mergeCell ref="A20:A27"/>
    <mergeCell ref="B20:B27"/>
    <mergeCell ref="C20:C27"/>
    <mergeCell ref="A28:A41"/>
    <mergeCell ref="B28:B41"/>
    <mergeCell ref="C28:C41"/>
    <mergeCell ref="A50:A56"/>
    <mergeCell ref="B50:B56"/>
    <mergeCell ref="C50:C56"/>
    <mergeCell ref="A57:E57"/>
    <mergeCell ref="A42:A44"/>
    <mergeCell ref="B42:B44"/>
    <mergeCell ref="C42:C44"/>
    <mergeCell ref="A45:A49"/>
    <mergeCell ref="B45:B49"/>
    <mergeCell ref="C45:C49"/>
  </mergeCells>
  <phoneticPr fontId="4" type="noConversion"/>
  <pageMargins left="0.7" right="0.7" top="0.75" bottom="0.75" header="0.3" footer="0.3"/>
  <pageSetup paperSize="9" scale="60" orientation="portrait" r:id="rId1"/>
</worksheet>
</file>

<file path=xl/worksheets/sheet60.xml><?xml version="1.0" encoding="utf-8"?>
<worksheet xmlns="http://schemas.openxmlformats.org/spreadsheetml/2006/main" xmlns:r="http://schemas.openxmlformats.org/officeDocument/2006/relationships">
  <dimension ref="A1:G72"/>
  <sheetViews>
    <sheetView zoomScale="70" zoomScaleNormal="70" workbookViewId="0">
      <selection activeCell="E10" sqref="E10"/>
    </sheetView>
  </sheetViews>
  <sheetFormatPr defaultRowHeight="23.25"/>
  <cols>
    <col min="1" max="1" width="13.7109375" customWidth="1"/>
    <col min="2" max="2" width="33" style="872" customWidth="1"/>
    <col min="3" max="3" width="17.5703125" style="923" customWidth="1"/>
    <col min="4" max="4" width="10.140625" style="905" customWidth="1"/>
    <col min="5" max="5" width="124.7109375" style="635" customWidth="1"/>
    <col min="6" max="6" width="18.7109375" style="636" customWidth="1"/>
    <col min="7" max="7" width="19" style="636" customWidth="1"/>
    <col min="8" max="8" width="18" customWidth="1"/>
  </cols>
  <sheetData>
    <row r="1" spans="1:7" ht="283.5" customHeight="1">
      <c r="A1" s="1554" t="s">
        <v>2279</v>
      </c>
      <c r="B1" s="1555"/>
      <c r="C1" s="1555"/>
      <c r="D1" s="1555"/>
      <c r="E1" s="1555"/>
      <c r="F1" s="1555"/>
      <c r="G1" s="1555"/>
    </row>
    <row r="2" spans="1:7" ht="84.75" customHeight="1">
      <c r="A2" s="906"/>
      <c r="B2" s="907" t="s">
        <v>1474</v>
      </c>
      <c r="C2" s="893" t="s">
        <v>1445</v>
      </c>
      <c r="D2" s="892"/>
      <c r="E2" s="907" t="s">
        <v>1475</v>
      </c>
      <c r="F2" s="908" t="s">
        <v>1445</v>
      </c>
      <c r="G2" s="908" t="s">
        <v>399</v>
      </c>
    </row>
    <row r="3" spans="1:7" ht="46.5" customHeight="1">
      <c r="A3" s="1551">
        <v>1</v>
      </c>
      <c r="B3" s="1556" t="s">
        <v>1476</v>
      </c>
      <c r="C3" s="1553">
        <v>0.26</v>
      </c>
      <c r="D3" s="909">
        <v>1</v>
      </c>
      <c r="E3" s="895" t="s">
        <v>1477</v>
      </c>
      <c r="F3" s="910">
        <v>0.04</v>
      </c>
      <c r="G3" s="911"/>
    </row>
    <row r="4" spans="1:7" ht="69.75">
      <c r="A4" s="1551"/>
      <c r="B4" s="1557"/>
      <c r="C4" s="1553"/>
      <c r="D4" s="909">
        <v>2</v>
      </c>
      <c r="E4" s="895" t="s">
        <v>1478</v>
      </c>
      <c r="F4" s="910">
        <v>0.04</v>
      </c>
      <c r="G4" s="911"/>
    </row>
    <row r="5" spans="1:7">
      <c r="A5" s="1551"/>
      <c r="B5" s="1557"/>
      <c r="C5" s="1553"/>
      <c r="D5" s="909">
        <v>3</v>
      </c>
      <c r="E5" s="898" t="s">
        <v>1479</v>
      </c>
      <c r="F5" s="908">
        <v>0.2</v>
      </c>
      <c r="G5" s="912"/>
    </row>
    <row r="6" spans="1:7" ht="46.5">
      <c r="A6" s="1551"/>
      <c r="B6" s="1557"/>
      <c r="C6" s="1553"/>
      <c r="D6" s="909">
        <v>4</v>
      </c>
      <c r="E6" s="895" t="s">
        <v>1480</v>
      </c>
      <c r="F6" s="910">
        <v>0.17</v>
      </c>
      <c r="G6" s="911"/>
    </row>
    <row r="7" spans="1:7" ht="46.5">
      <c r="A7" s="1551"/>
      <c r="B7" s="1557"/>
      <c r="C7" s="1553"/>
      <c r="D7" s="909">
        <v>5</v>
      </c>
      <c r="E7" s="895" t="s">
        <v>1481</v>
      </c>
      <c r="F7" s="910">
        <v>0.14000000000000001</v>
      </c>
      <c r="G7" s="911"/>
    </row>
    <row r="8" spans="1:7" ht="93">
      <c r="A8" s="1551"/>
      <c r="B8" s="1557"/>
      <c r="C8" s="1553"/>
      <c r="D8" s="909">
        <v>6</v>
      </c>
      <c r="E8" s="895" t="s">
        <v>1482</v>
      </c>
      <c r="F8" s="910">
        <v>0.13</v>
      </c>
      <c r="G8" s="911"/>
    </row>
    <row r="9" spans="1:7" ht="93">
      <c r="A9" s="1551"/>
      <c r="B9" s="1557"/>
      <c r="C9" s="1553"/>
      <c r="D9" s="909">
        <v>7</v>
      </c>
      <c r="E9" s="895" t="s">
        <v>1483</v>
      </c>
      <c r="F9" s="910">
        <v>0.11</v>
      </c>
      <c r="G9" s="911"/>
    </row>
    <row r="10" spans="1:7" ht="69.75">
      <c r="A10" s="1551"/>
      <c r="B10" s="1557"/>
      <c r="C10" s="1553"/>
      <c r="D10" s="909">
        <v>8</v>
      </c>
      <c r="E10" s="895" t="s">
        <v>1484</v>
      </c>
      <c r="F10" s="910">
        <v>0.09</v>
      </c>
      <c r="G10" s="911"/>
    </row>
    <row r="11" spans="1:7" ht="69.75">
      <c r="A11" s="1551"/>
      <c r="B11" s="1558"/>
      <c r="C11" s="1553"/>
      <c r="D11" s="909">
        <v>9</v>
      </c>
      <c r="E11" s="913" t="s">
        <v>1485</v>
      </c>
      <c r="F11" s="914">
        <v>0.08</v>
      </c>
      <c r="G11" s="915"/>
    </row>
    <row r="12" spans="1:7">
      <c r="A12" s="916"/>
      <c r="B12" s="907"/>
      <c r="C12" s="908"/>
      <c r="D12" s="916"/>
      <c r="E12" s="917"/>
      <c r="F12" s="914">
        <f>SUM(F3:F11)</f>
        <v>1</v>
      </c>
      <c r="G12" s="914"/>
    </row>
    <row r="13" spans="1:7" ht="69.75" customHeight="1">
      <c r="A13" s="1551">
        <v>2</v>
      </c>
      <c r="B13" s="1552" t="s">
        <v>1486</v>
      </c>
      <c r="C13" s="1553">
        <v>0.25</v>
      </c>
      <c r="D13" s="909">
        <v>1</v>
      </c>
      <c r="E13" s="918" t="s">
        <v>1487</v>
      </c>
      <c r="F13" s="910">
        <v>0.14000000000000001</v>
      </c>
      <c r="G13" s="911"/>
    </row>
    <row r="14" spans="1:7" ht="46.5">
      <c r="A14" s="1551"/>
      <c r="B14" s="1552"/>
      <c r="C14" s="1553"/>
      <c r="D14" s="909">
        <v>2</v>
      </c>
      <c r="E14" s="918" t="s">
        <v>1488</v>
      </c>
      <c r="F14" s="910">
        <v>0.12</v>
      </c>
      <c r="G14" s="911"/>
    </row>
    <row r="15" spans="1:7" ht="69.75">
      <c r="A15" s="1551"/>
      <c r="B15" s="1552"/>
      <c r="C15" s="1553"/>
      <c r="D15" s="909">
        <v>3</v>
      </c>
      <c r="E15" s="918" t="s">
        <v>1489</v>
      </c>
      <c r="F15" s="910">
        <v>0.15</v>
      </c>
      <c r="G15" s="911"/>
    </row>
    <row r="16" spans="1:7" ht="46.5">
      <c r="A16" s="1551"/>
      <c r="B16" s="1552"/>
      <c r="C16" s="1553"/>
      <c r="D16" s="909">
        <v>4</v>
      </c>
      <c r="E16" s="918" t="s">
        <v>1490</v>
      </c>
      <c r="F16" s="910">
        <v>0.08</v>
      </c>
      <c r="G16" s="911"/>
    </row>
    <row r="17" spans="1:7" ht="46.5">
      <c r="A17" s="1551"/>
      <c r="B17" s="1552"/>
      <c r="C17" s="1553"/>
      <c r="D17" s="909">
        <v>5</v>
      </c>
      <c r="E17" s="918" t="s">
        <v>1491</v>
      </c>
      <c r="F17" s="910">
        <v>0.12</v>
      </c>
      <c r="G17" s="911"/>
    </row>
    <row r="18" spans="1:7" ht="46.5">
      <c r="A18" s="1551"/>
      <c r="B18" s="1552"/>
      <c r="C18" s="1553"/>
      <c r="D18" s="909">
        <v>6</v>
      </c>
      <c r="E18" s="918" t="s">
        <v>1492</v>
      </c>
      <c r="F18" s="910">
        <v>0.1</v>
      </c>
      <c r="G18" s="911"/>
    </row>
    <row r="19" spans="1:7" ht="46.5">
      <c r="A19" s="1551"/>
      <c r="B19" s="1552"/>
      <c r="C19" s="1553"/>
      <c r="D19" s="909">
        <v>7</v>
      </c>
      <c r="E19" s="918" t="s">
        <v>1493</v>
      </c>
      <c r="F19" s="910">
        <v>0.14000000000000001</v>
      </c>
      <c r="G19" s="911"/>
    </row>
    <row r="20" spans="1:7">
      <c r="A20" s="1551"/>
      <c r="B20" s="1552"/>
      <c r="C20" s="1553"/>
      <c r="D20" s="909">
        <v>8</v>
      </c>
      <c r="E20" s="918" t="s">
        <v>1494</v>
      </c>
      <c r="F20" s="910">
        <v>0.15</v>
      </c>
      <c r="G20" s="911"/>
    </row>
    <row r="21" spans="1:7">
      <c r="A21" s="916"/>
      <c r="B21" s="907"/>
      <c r="C21" s="908"/>
      <c r="D21" s="916">
        <f>SUM(D13:D20)</f>
        <v>36</v>
      </c>
      <c r="E21" s="919"/>
      <c r="F21" s="910">
        <f>SUM(F13:F20)</f>
        <v>1</v>
      </c>
      <c r="G21" s="910"/>
    </row>
    <row r="22" spans="1:7" ht="46.5" customHeight="1">
      <c r="A22" s="1551">
        <v>3</v>
      </c>
      <c r="B22" s="1552" t="s">
        <v>2276</v>
      </c>
      <c r="C22" s="1553">
        <v>0.16</v>
      </c>
      <c r="D22" s="909">
        <v>1</v>
      </c>
      <c r="E22" s="920" t="s">
        <v>1496</v>
      </c>
      <c r="F22" s="908">
        <v>0.25</v>
      </c>
      <c r="G22" s="912"/>
    </row>
    <row r="23" spans="1:7">
      <c r="A23" s="1551"/>
      <c r="B23" s="1552"/>
      <c r="C23" s="1553"/>
      <c r="D23" s="909">
        <v>2</v>
      </c>
      <c r="E23" s="920" t="s">
        <v>1497</v>
      </c>
      <c r="F23" s="908">
        <v>0.2</v>
      </c>
      <c r="G23" s="912"/>
    </row>
    <row r="24" spans="1:7">
      <c r="A24" s="1551"/>
      <c r="B24" s="1552"/>
      <c r="C24" s="1553"/>
      <c r="D24" s="909">
        <v>3</v>
      </c>
      <c r="E24" s="918" t="s">
        <v>1498</v>
      </c>
      <c r="F24" s="910">
        <v>0.23</v>
      </c>
      <c r="G24" s="911"/>
    </row>
    <row r="25" spans="1:7">
      <c r="A25" s="1551"/>
      <c r="B25" s="1552"/>
      <c r="C25" s="1553"/>
      <c r="D25" s="909">
        <v>4</v>
      </c>
      <c r="E25" s="918" t="s">
        <v>1499</v>
      </c>
      <c r="F25" s="910">
        <v>0.12</v>
      </c>
      <c r="G25" s="911"/>
    </row>
    <row r="26" spans="1:7" ht="69.75">
      <c r="A26" s="1551"/>
      <c r="B26" s="1552"/>
      <c r="C26" s="1553"/>
      <c r="D26" s="909">
        <v>5</v>
      </c>
      <c r="E26" s="918" t="s">
        <v>1500</v>
      </c>
      <c r="F26" s="910">
        <v>7.0000000000000007E-2</v>
      </c>
      <c r="G26" s="911"/>
    </row>
    <row r="27" spans="1:7" ht="46.5">
      <c r="A27" s="1551"/>
      <c r="B27" s="1552"/>
      <c r="C27" s="1553"/>
      <c r="D27" s="909">
        <v>6</v>
      </c>
      <c r="E27" s="918" t="s">
        <v>1501</v>
      </c>
      <c r="F27" s="910">
        <v>0.13</v>
      </c>
      <c r="G27" s="911"/>
    </row>
    <row r="28" spans="1:7">
      <c r="A28" s="916"/>
      <c r="B28" s="907"/>
      <c r="C28" s="908"/>
      <c r="D28" s="916">
        <f>SUM(D22:D27)</f>
        <v>21</v>
      </c>
      <c r="E28" s="919"/>
      <c r="F28" s="910">
        <f>SUM(F22:F27)</f>
        <v>1</v>
      </c>
      <c r="G28" s="910"/>
    </row>
    <row r="29" spans="1:7" ht="69.75">
      <c r="A29" s="1551">
        <v>4</v>
      </c>
      <c r="B29" s="1552" t="s">
        <v>1502</v>
      </c>
      <c r="C29" s="1553">
        <v>0.33</v>
      </c>
      <c r="D29" s="909">
        <v>1</v>
      </c>
      <c r="E29" s="918" t="s">
        <v>1503</v>
      </c>
      <c r="F29" s="910">
        <v>0.24</v>
      </c>
      <c r="G29" s="911"/>
    </row>
    <row r="30" spans="1:7" ht="46.5">
      <c r="A30" s="1551"/>
      <c r="B30" s="1552"/>
      <c r="C30" s="1553"/>
      <c r="D30" s="909">
        <v>2</v>
      </c>
      <c r="E30" s="918" t="s">
        <v>1504</v>
      </c>
      <c r="F30" s="910">
        <v>0.2</v>
      </c>
      <c r="G30" s="911"/>
    </row>
    <row r="31" spans="1:7" ht="69.75">
      <c r="A31" s="1551"/>
      <c r="B31" s="1552"/>
      <c r="C31" s="1553"/>
      <c r="D31" s="909">
        <v>3</v>
      </c>
      <c r="E31" s="918" t="s">
        <v>1505</v>
      </c>
      <c r="F31" s="910">
        <v>0.23</v>
      </c>
      <c r="G31" s="911"/>
    </row>
    <row r="32" spans="1:7" ht="69.75">
      <c r="A32" s="1551"/>
      <c r="B32" s="1552"/>
      <c r="C32" s="1553"/>
      <c r="D32" s="909">
        <v>4</v>
      </c>
      <c r="E32" s="918" t="s">
        <v>1506</v>
      </c>
      <c r="F32" s="910">
        <v>0.2</v>
      </c>
      <c r="G32" s="911"/>
    </row>
    <row r="33" spans="1:7">
      <c r="A33" s="1551"/>
      <c r="B33" s="1552"/>
      <c r="C33" s="1553"/>
      <c r="D33" s="909">
        <v>5</v>
      </c>
      <c r="E33" s="918" t="s">
        <v>1507</v>
      </c>
      <c r="F33" s="910">
        <v>0.06</v>
      </c>
      <c r="G33" s="911"/>
    </row>
    <row r="34" spans="1:7" ht="46.5">
      <c r="A34" s="1551"/>
      <c r="B34" s="1552"/>
      <c r="C34" s="1553"/>
      <c r="D34" s="909">
        <v>6</v>
      </c>
      <c r="E34" s="918" t="s">
        <v>791</v>
      </c>
      <c r="F34" s="910">
        <v>7.0000000000000007E-2</v>
      </c>
      <c r="G34" s="911"/>
    </row>
    <row r="35" spans="1:7">
      <c r="A35" s="784"/>
      <c r="B35" s="785"/>
      <c r="C35" s="921">
        <f>SUM(C3:C34)</f>
        <v>1</v>
      </c>
      <c r="D35" s="784"/>
      <c r="E35" s="786"/>
      <c r="F35" s="922">
        <f>SUM(F29:F34)</f>
        <v>1.0000000000000002</v>
      </c>
      <c r="G35" s="922"/>
    </row>
    <row r="36" spans="1:7" ht="31.5">
      <c r="A36" s="1515" t="s">
        <v>1640</v>
      </c>
      <c r="B36" s="1516"/>
      <c r="C36" s="859"/>
      <c r="D36" s="784"/>
      <c r="E36" s="786"/>
      <c r="F36" s="922"/>
      <c r="G36" s="922"/>
    </row>
    <row r="37" spans="1:7" ht="31.5">
      <c r="A37" s="1515" t="s">
        <v>444</v>
      </c>
      <c r="B37" s="1516"/>
      <c r="C37" s="859"/>
      <c r="D37" s="784"/>
      <c r="E37" s="786"/>
      <c r="F37" s="922"/>
      <c r="G37" s="922"/>
    </row>
    <row r="38" spans="1:7" s="302" customFormat="1" ht="15.75">
      <c r="A38" s="288" t="s">
        <v>182</v>
      </c>
      <c r="B38" s="289"/>
      <c r="C38" s="342"/>
      <c r="E38" s="343"/>
      <c r="F38" s="344"/>
      <c r="G38" s="112"/>
    </row>
    <row r="39" spans="1:7" s="302" customFormat="1" ht="17.25">
      <c r="A39" s="345" t="s">
        <v>589</v>
      </c>
      <c r="B39" s="346"/>
      <c r="C39" s="347"/>
      <c r="D39" s="303"/>
      <c r="E39" s="348"/>
      <c r="F39" s="349"/>
      <c r="G39" s="112"/>
    </row>
    <row r="40" spans="1:7" s="302" customFormat="1" ht="17.25">
      <c r="A40" s="345" t="s">
        <v>590</v>
      </c>
      <c r="B40" s="346"/>
      <c r="C40" s="347"/>
      <c r="D40" s="303"/>
      <c r="E40" s="348"/>
      <c r="F40" s="349"/>
      <c r="G40" s="112"/>
    </row>
    <row r="41" spans="1:7" s="302" customFormat="1" ht="17.25">
      <c r="A41" s="345" t="s">
        <v>591</v>
      </c>
      <c r="B41" s="346"/>
      <c r="C41" s="347"/>
      <c r="D41" s="303"/>
      <c r="E41" s="348"/>
      <c r="F41" s="349"/>
      <c r="G41" s="112"/>
    </row>
    <row r="42" spans="1:7" s="302" customFormat="1" ht="17.25">
      <c r="A42" s="345" t="s">
        <v>592</v>
      </c>
      <c r="B42" s="346"/>
      <c r="C42" s="347"/>
      <c r="D42" s="303"/>
      <c r="E42" s="348"/>
      <c r="F42" s="349"/>
      <c r="G42" s="112"/>
    </row>
    <row r="43" spans="1:7" s="302" customFormat="1" ht="17.25">
      <c r="A43" s="345" t="s">
        <v>593</v>
      </c>
      <c r="B43" s="346"/>
      <c r="C43" s="347"/>
      <c r="D43" s="303"/>
      <c r="E43" s="348"/>
      <c r="F43" s="349"/>
      <c r="G43" s="112"/>
    </row>
    <row r="44" spans="1:7" s="302" customFormat="1" ht="17.25">
      <c r="A44" s="345" t="s">
        <v>594</v>
      </c>
      <c r="B44" s="346"/>
      <c r="C44" s="347"/>
      <c r="D44" s="303"/>
      <c r="E44" s="348"/>
      <c r="F44" s="349"/>
      <c r="G44" s="112"/>
    </row>
    <row r="45" spans="1:7" s="302" customFormat="1" ht="17.25">
      <c r="A45" s="345" t="s">
        <v>595</v>
      </c>
      <c r="B45" s="346"/>
      <c r="C45" s="347"/>
      <c r="D45" s="303"/>
      <c r="E45" s="348"/>
      <c r="F45" s="349"/>
      <c r="G45" s="112"/>
    </row>
    <row r="46" spans="1:7" s="302" customFormat="1" ht="15.75">
      <c r="A46" s="350" t="s">
        <v>596</v>
      </c>
      <c r="B46" s="346"/>
      <c r="C46" s="347"/>
      <c r="D46" s="303"/>
      <c r="E46" s="348"/>
      <c r="F46" s="349"/>
      <c r="G46" s="112"/>
    </row>
    <row r="47" spans="1:7" s="302" customFormat="1" ht="15.75">
      <c r="A47" s="345" t="s">
        <v>597</v>
      </c>
      <c r="B47" s="346"/>
      <c r="C47" s="347"/>
      <c r="D47" s="303"/>
      <c r="E47" s="348"/>
      <c r="F47" s="349"/>
      <c r="G47" s="112"/>
    </row>
    <row r="48" spans="1:7" s="302" customFormat="1" ht="15.75">
      <c r="A48" s="288" t="s">
        <v>792</v>
      </c>
      <c r="B48" s="346"/>
      <c r="C48" s="347"/>
      <c r="D48" s="303"/>
      <c r="E48" s="348"/>
      <c r="F48" s="349"/>
      <c r="G48" s="112"/>
    </row>
    <row r="49" spans="1:7" s="302" customFormat="1" ht="15.75">
      <c r="A49" s="288" t="s">
        <v>793</v>
      </c>
      <c r="B49" s="346"/>
      <c r="C49" s="347"/>
      <c r="D49" s="303"/>
      <c r="E49" s="348"/>
      <c r="F49" s="349"/>
      <c r="G49" s="112"/>
    </row>
    <row r="50" spans="1:7" s="302" customFormat="1" ht="15.75">
      <c r="A50" s="288" t="s">
        <v>794</v>
      </c>
      <c r="B50" s="346"/>
      <c r="C50" s="347"/>
      <c r="D50" s="303"/>
      <c r="E50" s="348"/>
      <c r="F50" s="349"/>
      <c r="G50" s="112"/>
    </row>
    <row r="51" spans="1:7" s="302" customFormat="1" ht="15.75">
      <c r="A51" s="342"/>
      <c r="B51" s="342" t="s">
        <v>20</v>
      </c>
      <c r="C51" s="342"/>
      <c r="D51" s="342"/>
      <c r="E51" s="342"/>
      <c r="F51" s="342"/>
      <c r="G51" s="342"/>
    </row>
    <row r="52" spans="1:7" s="302" customFormat="1" ht="15.75">
      <c r="A52" s="351"/>
      <c r="B52" s="351"/>
      <c r="C52" s="351"/>
      <c r="D52" s="351"/>
      <c r="E52" s="351"/>
      <c r="F52" s="351"/>
      <c r="G52" s="351"/>
    </row>
    <row r="53" spans="1:7" s="302" customFormat="1" ht="15.75">
      <c r="A53" s="351"/>
      <c r="B53" s="351"/>
      <c r="C53" s="351"/>
      <c r="D53" s="351"/>
      <c r="E53" s="351"/>
      <c r="F53" s="351"/>
      <c r="G53" s="351"/>
    </row>
    <row r="54" spans="1:7" s="302" customFormat="1" ht="15.75">
      <c r="A54" s="351"/>
      <c r="B54" s="351"/>
      <c r="C54" s="351"/>
      <c r="D54" s="351"/>
      <c r="E54" s="351"/>
      <c r="F54" s="351"/>
      <c r="G54" s="351"/>
    </row>
    <row r="55" spans="1:7" s="302" customFormat="1" ht="15.75">
      <c r="A55" s="351"/>
      <c r="B55" s="351"/>
      <c r="C55" s="351"/>
      <c r="D55" s="351"/>
      <c r="E55" s="351"/>
      <c r="F55" s="351"/>
      <c r="G55" s="351"/>
    </row>
    <row r="56" spans="1:7" s="302" customFormat="1" ht="15.75">
      <c r="A56" s="351"/>
      <c r="B56" s="351"/>
      <c r="C56" s="351"/>
      <c r="D56" s="351"/>
      <c r="E56" s="351"/>
      <c r="F56" s="351"/>
      <c r="G56" s="351"/>
    </row>
    <row r="57" spans="1:7" s="302" customFormat="1" ht="15.75">
      <c r="A57" s="351"/>
      <c r="B57" s="351"/>
      <c r="C57" s="351"/>
      <c r="D57" s="351"/>
      <c r="E57" s="351"/>
      <c r="F57" s="351"/>
      <c r="G57" s="351"/>
    </row>
    <row r="58" spans="1:7" s="302" customFormat="1" ht="15.75">
      <c r="A58" s="351"/>
      <c r="B58" s="351"/>
      <c r="C58" s="351"/>
      <c r="D58" s="351"/>
      <c r="E58" s="351"/>
      <c r="F58" s="351"/>
      <c r="G58" s="351"/>
    </row>
    <row r="59" spans="1:7" s="302" customFormat="1" ht="15.75">
      <c r="A59" s="351"/>
      <c r="B59" s="351"/>
      <c r="C59" s="351"/>
      <c r="D59" s="351"/>
      <c r="E59" s="351"/>
      <c r="F59" s="351"/>
      <c r="G59" s="351"/>
    </row>
    <row r="60" spans="1:7" s="302" customFormat="1" ht="15.75">
      <c r="A60" s="351"/>
      <c r="B60" s="351"/>
      <c r="C60" s="351"/>
      <c r="D60" s="351"/>
      <c r="E60" s="351"/>
      <c r="F60" s="351"/>
      <c r="G60" s="351"/>
    </row>
    <row r="61" spans="1:7" s="302" customFormat="1" ht="15.75">
      <c r="A61" s="351"/>
      <c r="B61" s="351"/>
      <c r="C61" s="351"/>
      <c r="D61" s="351"/>
      <c r="E61" s="351"/>
      <c r="F61" s="351"/>
      <c r="G61" s="351"/>
    </row>
    <row r="62" spans="1:7" s="302" customFormat="1" ht="15.75">
      <c r="A62" s="351"/>
      <c r="B62" s="351"/>
      <c r="C62" s="351"/>
      <c r="D62" s="351"/>
      <c r="E62" s="351"/>
      <c r="F62" s="351"/>
      <c r="G62" s="351"/>
    </row>
    <row r="63" spans="1:7" s="302" customFormat="1" ht="15.75">
      <c r="A63" s="351"/>
      <c r="B63" s="351"/>
      <c r="C63" s="351"/>
      <c r="D63" s="351"/>
      <c r="E63" s="351"/>
      <c r="F63" s="351"/>
      <c r="G63" s="351"/>
    </row>
    <row r="64" spans="1:7" s="302" customFormat="1" ht="15.75">
      <c r="A64" s="351"/>
      <c r="B64" s="351"/>
      <c r="C64" s="351"/>
      <c r="D64" s="351"/>
      <c r="E64" s="351"/>
      <c r="F64" s="351"/>
      <c r="G64" s="351"/>
    </row>
    <row r="65" spans="1:7" s="302" customFormat="1" ht="15.75">
      <c r="A65" s="351"/>
      <c r="B65" s="351"/>
      <c r="C65" s="351"/>
      <c r="D65" s="351"/>
      <c r="E65" s="351"/>
      <c r="F65" s="351"/>
      <c r="G65" s="351"/>
    </row>
    <row r="66" spans="1:7" s="302" customFormat="1" ht="15.75">
      <c r="A66" s="342"/>
      <c r="B66" s="352" t="s">
        <v>2418</v>
      </c>
      <c r="C66" s="352"/>
      <c r="D66" s="352"/>
      <c r="E66" s="352"/>
      <c r="F66" s="352"/>
      <c r="G66" s="352"/>
    </row>
    <row r="67" spans="1:7" s="302" customFormat="1" ht="15.75">
      <c r="A67" s="342"/>
      <c r="B67" s="353"/>
      <c r="C67" s="353"/>
      <c r="D67" s="353"/>
      <c r="E67" s="353"/>
      <c r="F67" s="353"/>
      <c r="G67" s="353"/>
    </row>
    <row r="68" spans="1:7" s="302" customFormat="1" ht="15.75">
      <c r="A68" s="342"/>
      <c r="B68" s="352" t="s">
        <v>22</v>
      </c>
      <c r="C68" s="352"/>
      <c r="D68" s="352"/>
      <c r="E68" s="352"/>
      <c r="F68" s="352"/>
      <c r="G68" s="352"/>
    </row>
    <row r="69" spans="1:7" s="302" customFormat="1" ht="15.75">
      <c r="A69" s="342"/>
      <c r="B69" s="353"/>
      <c r="C69" s="353"/>
      <c r="D69" s="353"/>
      <c r="E69" s="353"/>
      <c r="F69" s="353"/>
      <c r="G69" s="353"/>
    </row>
    <row r="70" spans="1:7" s="302" customFormat="1" ht="15.75">
      <c r="A70" s="342"/>
      <c r="B70" s="352" t="s">
        <v>23</v>
      </c>
      <c r="C70" s="352"/>
      <c r="D70" s="352"/>
      <c r="E70" s="352"/>
      <c r="F70" s="352"/>
      <c r="G70" s="352"/>
    </row>
    <row r="71" spans="1:7" s="302" customFormat="1" ht="15.75">
      <c r="A71" s="342"/>
      <c r="B71" s="352" t="s">
        <v>24</v>
      </c>
      <c r="C71" s="352"/>
      <c r="D71" s="352"/>
      <c r="E71" s="352"/>
      <c r="F71" s="352"/>
      <c r="G71" s="352"/>
    </row>
    <row r="72" spans="1:7" s="303" customFormat="1" ht="15.75">
      <c r="A72" s="346"/>
      <c r="B72" s="346"/>
      <c r="E72" s="333"/>
    </row>
  </sheetData>
  <mergeCells count="15">
    <mergeCell ref="A13:A20"/>
    <mergeCell ref="B13:B20"/>
    <mergeCell ref="C13:C20"/>
    <mergeCell ref="A1:G1"/>
    <mergeCell ref="A3:A11"/>
    <mergeCell ref="B3:B11"/>
    <mergeCell ref="C3:C11"/>
    <mergeCell ref="A36:B36"/>
    <mergeCell ref="A37:B37"/>
    <mergeCell ref="A22:A27"/>
    <mergeCell ref="B22:B27"/>
    <mergeCell ref="C22:C27"/>
    <mergeCell ref="A29:A34"/>
    <mergeCell ref="B29:B34"/>
    <mergeCell ref="C29:C34"/>
  </mergeCells>
  <phoneticPr fontId="4" type="noConversion"/>
  <pageMargins left="0.7" right="0.7" top="0.75" bottom="0.75" header="0.3" footer="0.3"/>
  <pageSetup paperSize="9" scale="35" orientation="portrait" r:id="rId1"/>
</worksheet>
</file>

<file path=xl/worksheets/sheet61.xml><?xml version="1.0" encoding="utf-8"?>
<worksheet xmlns="http://schemas.openxmlformats.org/spreadsheetml/2006/main" xmlns:r="http://schemas.openxmlformats.org/officeDocument/2006/relationships">
  <dimension ref="A1:G60"/>
  <sheetViews>
    <sheetView topLeftCell="D148" zoomScale="90" zoomScaleNormal="90" workbookViewId="0">
      <selection activeCell="A26" sqref="A26:IV60"/>
    </sheetView>
  </sheetViews>
  <sheetFormatPr defaultRowHeight="15"/>
  <cols>
    <col min="1" max="1" width="9.7109375" customWidth="1"/>
    <col min="2" max="2" width="35.140625" customWidth="1"/>
    <col min="3" max="3" width="16.140625" customWidth="1"/>
    <col min="4" max="4" width="53.42578125" style="787" customWidth="1"/>
    <col min="5" max="5" width="17.5703125" style="787" customWidth="1"/>
    <col min="6" max="6" width="31.85546875" style="378" customWidth="1"/>
  </cols>
  <sheetData>
    <row r="1" spans="1:6" ht="137.25" customHeight="1">
      <c r="A1" s="1560" t="s">
        <v>2257</v>
      </c>
      <c r="B1" s="1561"/>
      <c r="C1" s="1561"/>
      <c r="D1" s="1561"/>
      <c r="E1" s="1561"/>
      <c r="F1" s="1561"/>
    </row>
    <row r="2" spans="1:6" ht="16.5" customHeight="1">
      <c r="A2" s="1559"/>
      <c r="B2" s="1559" t="s">
        <v>1651</v>
      </c>
      <c r="C2" s="1559" t="s">
        <v>2258</v>
      </c>
      <c r="D2" s="1563" t="s">
        <v>1652</v>
      </c>
      <c r="E2" s="1562" t="s">
        <v>2256</v>
      </c>
      <c r="F2" s="1562" t="s">
        <v>399</v>
      </c>
    </row>
    <row r="3" spans="1:6" ht="15" customHeight="1">
      <c r="A3" s="1559"/>
      <c r="B3" s="1559"/>
      <c r="C3" s="1559"/>
      <c r="D3" s="1563"/>
      <c r="E3" s="1562"/>
      <c r="F3" s="1562"/>
    </row>
    <row r="4" spans="1:6" ht="80.25" customHeight="1">
      <c r="A4" s="1227">
        <v>1</v>
      </c>
      <c r="B4" s="1227" t="s">
        <v>1653</v>
      </c>
      <c r="C4" s="1559">
        <f>4/10</f>
        <v>0.4</v>
      </c>
      <c r="D4" s="638" t="s">
        <v>1654</v>
      </c>
      <c r="E4" s="780">
        <f>1.5/6</f>
        <v>0.25</v>
      </c>
      <c r="F4" s="639"/>
    </row>
    <row r="5" spans="1:6" ht="34.5" customHeight="1">
      <c r="A5" s="1227"/>
      <c r="B5" s="1227"/>
      <c r="C5" s="1559"/>
      <c r="D5" s="638" t="s">
        <v>1655</v>
      </c>
      <c r="E5" s="780">
        <f>1.5/6</f>
        <v>0.25</v>
      </c>
      <c r="F5" s="639"/>
    </row>
    <row r="6" spans="1:6" ht="86.25" customHeight="1">
      <c r="A6" s="1227"/>
      <c r="B6" s="1227"/>
      <c r="C6" s="1559"/>
      <c r="D6" s="638" t="s">
        <v>1656</v>
      </c>
      <c r="E6" s="780">
        <f>3/6</f>
        <v>0.5</v>
      </c>
      <c r="F6" s="639"/>
    </row>
    <row r="7" spans="1:6" ht="16.5" customHeight="1">
      <c r="A7" s="860"/>
      <c r="B7" s="860"/>
      <c r="C7" s="877"/>
      <c r="D7" s="779"/>
      <c r="E7" s="780">
        <f>SUM(E4:E6)</f>
        <v>1</v>
      </c>
      <c r="F7" s="780"/>
    </row>
    <row r="8" spans="1:6" ht="56.25" customHeight="1">
      <c r="A8" s="1227">
        <v>2</v>
      </c>
      <c r="B8" s="1227" t="s">
        <v>2259</v>
      </c>
      <c r="C8" s="1559">
        <f>2/10</f>
        <v>0.2</v>
      </c>
      <c r="D8" s="638" t="s">
        <v>1657</v>
      </c>
      <c r="E8" s="780">
        <f>1.5/6</f>
        <v>0.25</v>
      </c>
      <c r="F8" s="639"/>
    </row>
    <row r="9" spans="1:6" ht="97.5" customHeight="1">
      <c r="A9" s="1227"/>
      <c r="B9" s="1227"/>
      <c r="C9" s="1559"/>
      <c r="D9" s="638" t="s">
        <v>1658</v>
      </c>
      <c r="E9" s="780">
        <f>1.5/6</f>
        <v>0.25</v>
      </c>
      <c r="F9" s="639"/>
    </row>
    <row r="10" spans="1:6" ht="54" customHeight="1">
      <c r="A10" s="1227"/>
      <c r="B10" s="1227"/>
      <c r="C10" s="1559"/>
      <c r="D10" s="638" t="s">
        <v>1659</v>
      </c>
      <c r="E10" s="780">
        <f>3/6</f>
        <v>0.5</v>
      </c>
      <c r="F10" s="639"/>
    </row>
    <row r="11" spans="1:6" ht="15.75">
      <c r="A11" s="860"/>
      <c r="B11" s="860"/>
      <c r="C11" s="877"/>
      <c r="D11" s="779"/>
      <c r="E11" s="780">
        <f>SUM(E8:E10)</f>
        <v>1</v>
      </c>
      <c r="F11" s="780"/>
    </row>
    <row r="12" spans="1:6" ht="72.75" customHeight="1">
      <c r="A12" s="1227">
        <v>3</v>
      </c>
      <c r="B12" s="1227" t="s">
        <v>2260</v>
      </c>
      <c r="C12" s="1559">
        <f>2/10</f>
        <v>0.2</v>
      </c>
      <c r="D12" s="638" t="s">
        <v>1660</v>
      </c>
      <c r="E12" s="780">
        <f>1/3</f>
        <v>0.33333333333333331</v>
      </c>
      <c r="F12" s="639"/>
    </row>
    <row r="13" spans="1:6" ht="66" customHeight="1">
      <c r="A13" s="1227"/>
      <c r="B13" s="1227"/>
      <c r="C13" s="1559"/>
      <c r="D13" s="638" t="s">
        <v>1661</v>
      </c>
      <c r="E13" s="780">
        <f>2/3</f>
        <v>0.66666666666666663</v>
      </c>
      <c r="F13" s="639"/>
    </row>
    <row r="14" spans="1:6" ht="21" customHeight="1">
      <c r="A14" s="860"/>
      <c r="B14" s="860"/>
      <c r="C14" s="877"/>
      <c r="D14" s="779"/>
      <c r="E14" s="780">
        <f>SUM(E12:E13)</f>
        <v>1</v>
      </c>
      <c r="F14" s="780"/>
    </row>
    <row r="15" spans="1:6" ht="61.5" customHeight="1">
      <c r="A15" s="1227">
        <v>4</v>
      </c>
      <c r="B15" s="1227" t="s">
        <v>1662</v>
      </c>
      <c r="C15" s="1559">
        <f>2/10</f>
        <v>0.2</v>
      </c>
      <c r="D15" s="638" t="s">
        <v>1663</v>
      </c>
      <c r="E15" s="780">
        <f>4/28</f>
        <v>0.14285714285714285</v>
      </c>
      <c r="F15" s="639"/>
    </row>
    <row r="16" spans="1:6" ht="49.5" customHeight="1">
      <c r="A16" s="1227"/>
      <c r="B16" s="1227"/>
      <c r="C16" s="1559"/>
      <c r="D16" s="638" t="s">
        <v>1664</v>
      </c>
      <c r="E16" s="780">
        <f>2/28</f>
        <v>7.1428571428571425E-2</v>
      </c>
      <c r="F16" s="639"/>
    </row>
    <row r="17" spans="1:7" ht="101.25" customHeight="1">
      <c r="A17" s="1227"/>
      <c r="B17" s="1227"/>
      <c r="C17" s="1559"/>
      <c r="D17" s="638" t="s">
        <v>1665</v>
      </c>
      <c r="E17" s="780">
        <f>7/28</f>
        <v>0.25</v>
      </c>
      <c r="F17" s="639"/>
    </row>
    <row r="18" spans="1:7" ht="89.25" customHeight="1">
      <c r="A18" s="1227"/>
      <c r="B18" s="1227"/>
      <c r="C18" s="1559"/>
      <c r="D18" s="638" t="s">
        <v>1666</v>
      </c>
      <c r="E18" s="780">
        <f>5.5/28</f>
        <v>0.19642857142857142</v>
      </c>
      <c r="F18" s="639"/>
    </row>
    <row r="19" spans="1:7" ht="36.75" customHeight="1">
      <c r="A19" s="1227"/>
      <c r="B19" s="1227"/>
      <c r="C19" s="1559"/>
      <c r="D19" s="638" t="s">
        <v>1667</v>
      </c>
      <c r="E19" s="780">
        <f>5.5/28</f>
        <v>0.19642857142857142</v>
      </c>
      <c r="F19" s="639"/>
    </row>
    <row r="20" spans="1:7" ht="40.5" customHeight="1">
      <c r="A20" s="1227"/>
      <c r="B20" s="1227"/>
      <c r="C20" s="1559"/>
      <c r="D20" s="638" t="s">
        <v>1668</v>
      </c>
      <c r="E20" s="780">
        <f>2/28</f>
        <v>7.1428571428571425E-2</v>
      </c>
      <c r="F20" s="639"/>
    </row>
    <row r="21" spans="1:7" ht="47.25">
      <c r="A21" s="1227"/>
      <c r="B21" s="1227"/>
      <c r="C21" s="1559"/>
      <c r="D21" s="638" t="s">
        <v>1669</v>
      </c>
      <c r="E21" s="780">
        <f>2/28</f>
        <v>7.1428571428571425E-2</v>
      </c>
      <c r="F21" s="639"/>
    </row>
    <row r="22" spans="1:7" ht="15.75">
      <c r="A22" s="781"/>
      <c r="B22" s="781"/>
      <c r="C22" s="878">
        <f>C15+C12+C8+C4</f>
        <v>1</v>
      </c>
      <c r="D22" s="782"/>
      <c r="E22" s="783">
        <f>SUM(E15:E21)</f>
        <v>0.99999999999999989</v>
      </c>
      <c r="F22" s="783"/>
    </row>
    <row r="23" spans="1:7" ht="23.25">
      <c r="A23" s="784"/>
      <c r="B23" s="785"/>
      <c r="C23" s="785"/>
      <c r="D23" s="784"/>
      <c r="E23" s="784"/>
      <c r="F23" s="786"/>
    </row>
    <row r="24" spans="1:7" ht="31.5">
      <c r="A24" s="1515" t="s">
        <v>1640</v>
      </c>
      <c r="B24" s="1516"/>
      <c r="C24" s="859"/>
      <c r="D24" s="784"/>
      <c r="E24" s="784"/>
      <c r="F24" s="786"/>
    </row>
    <row r="25" spans="1:7" ht="31.5">
      <c r="A25" s="1515" t="s">
        <v>444</v>
      </c>
      <c r="B25" s="1516"/>
      <c r="C25" s="859"/>
      <c r="D25" s="784"/>
      <c r="E25" s="784"/>
      <c r="F25" s="786"/>
    </row>
    <row r="26" spans="1:7" s="302" customFormat="1" ht="15.75">
      <c r="A26" s="288" t="s">
        <v>182</v>
      </c>
      <c r="B26" s="289"/>
      <c r="C26" s="342"/>
      <c r="E26" s="343"/>
      <c r="F26" s="344"/>
      <c r="G26" s="112"/>
    </row>
    <row r="27" spans="1:7" s="302" customFormat="1" ht="17.25">
      <c r="A27" s="345" t="s">
        <v>589</v>
      </c>
      <c r="B27" s="346"/>
      <c r="C27" s="347"/>
      <c r="D27" s="303"/>
      <c r="E27" s="348"/>
      <c r="F27" s="349"/>
      <c r="G27" s="112"/>
    </row>
    <row r="28" spans="1:7" s="302" customFormat="1" ht="17.25">
      <c r="A28" s="345" t="s">
        <v>590</v>
      </c>
      <c r="B28" s="346"/>
      <c r="C28" s="347"/>
      <c r="D28" s="303"/>
      <c r="E28" s="348"/>
      <c r="F28" s="349"/>
      <c r="G28" s="112"/>
    </row>
    <row r="29" spans="1:7" s="302" customFormat="1" ht="17.25">
      <c r="A29" s="345" t="s">
        <v>591</v>
      </c>
      <c r="B29" s="346"/>
      <c r="C29" s="347"/>
      <c r="D29" s="303"/>
      <c r="E29" s="348"/>
      <c r="F29" s="349"/>
      <c r="G29" s="112"/>
    </row>
    <row r="30" spans="1:7" s="302" customFormat="1" ht="17.25">
      <c r="A30" s="345" t="s">
        <v>592</v>
      </c>
      <c r="B30" s="346"/>
      <c r="C30" s="347"/>
      <c r="D30" s="303"/>
      <c r="E30" s="348"/>
      <c r="F30" s="349"/>
      <c r="G30" s="112"/>
    </row>
    <row r="31" spans="1:7" s="302" customFormat="1" ht="17.25">
      <c r="A31" s="345" t="s">
        <v>593</v>
      </c>
      <c r="B31" s="346"/>
      <c r="C31" s="347"/>
      <c r="D31" s="303"/>
      <c r="E31" s="348"/>
      <c r="F31" s="349"/>
      <c r="G31" s="112"/>
    </row>
    <row r="32" spans="1:7" s="302" customFormat="1" ht="17.25">
      <c r="A32" s="345" t="s">
        <v>594</v>
      </c>
      <c r="B32" s="346"/>
      <c r="C32" s="347"/>
      <c r="D32" s="303"/>
      <c r="E32" s="348"/>
      <c r="F32" s="349"/>
      <c r="G32" s="112"/>
    </row>
    <row r="33" spans="1:7" s="302" customFormat="1" ht="17.25">
      <c r="A33" s="345" t="s">
        <v>595</v>
      </c>
      <c r="B33" s="346"/>
      <c r="C33" s="347"/>
      <c r="D33" s="303"/>
      <c r="E33" s="348"/>
      <c r="F33" s="349"/>
      <c r="G33" s="112"/>
    </row>
    <row r="34" spans="1:7" s="302" customFormat="1" ht="15.75">
      <c r="A34" s="350" t="s">
        <v>596</v>
      </c>
      <c r="B34" s="346"/>
      <c r="C34" s="347"/>
      <c r="D34" s="303"/>
      <c r="E34" s="348"/>
      <c r="F34" s="349"/>
      <c r="G34" s="112"/>
    </row>
    <row r="35" spans="1:7" s="302" customFormat="1" ht="15.75">
      <c r="A35" s="345" t="s">
        <v>597</v>
      </c>
      <c r="B35" s="346"/>
      <c r="C35" s="347"/>
      <c r="D35" s="303"/>
      <c r="E35" s="348"/>
      <c r="F35" s="349"/>
      <c r="G35" s="112"/>
    </row>
    <row r="36" spans="1:7" s="302" customFormat="1" ht="15.75">
      <c r="A36" s="288" t="s">
        <v>792</v>
      </c>
      <c r="B36" s="346"/>
      <c r="C36" s="347"/>
      <c r="D36" s="303"/>
      <c r="E36" s="348"/>
      <c r="F36" s="349"/>
      <c r="G36" s="112"/>
    </row>
    <row r="37" spans="1:7" s="302" customFormat="1" ht="15.75">
      <c r="A37" s="288" t="s">
        <v>793</v>
      </c>
      <c r="B37" s="346"/>
      <c r="C37" s="347"/>
      <c r="D37" s="303"/>
      <c r="E37" s="348"/>
      <c r="F37" s="349"/>
      <c r="G37" s="112"/>
    </row>
    <row r="38" spans="1:7" s="302" customFormat="1" ht="15.75">
      <c r="A38" s="288" t="s">
        <v>794</v>
      </c>
      <c r="B38" s="346"/>
      <c r="C38" s="347"/>
      <c r="D38" s="303"/>
      <c r="E38" s="348"/>
      <c r="F38" s="349"/>
      <c r="G38" s="112"/>
    </row>
    <row r="39" spans="1:7" s="302" customFormat="1" ht="15.75">
      <c r="A39" s="342"/>
      <c r="B39" s="342" t="s">
        <v>20</v>
      </c>
      <c r="C39" s="342"/>
      <c r="D39" s="342"/>
      <c r="E39" s="342"/>
      <c r="F39" s="342"/>
      <c r="G39" s="342"/>
    </row>
    <row r="40" spans="1:7" s="302" customFormat="1" ht="15.75">
      <c r="A40" s="351"/>
      <c r="B40" s="351"/>
      <c r="C40" s="351"/>
      <c r="D40" s="351"/>
      <c r="E40" s="351"/>
      <c r="F40" s="351"/>
      <c r="G40" s="351"/>
    </row>
    <row r="41" spans="1:7" s="302" customFormat="1" ht="15.75">
      <c r="A41" s="351"/>
      <c r="B41" s="351"/>
      <c r="C41" s="351"/>
      <c r="D41" s="351"/>
      <c r="E41" s="351"/>
      <c r="F41" s="351"/>
      <c r="G41" s="351"/>
    </row>
    <row r="42" spans="1:7" s="302" customFormat="1" ht="15.75">
      <c r="A42" s="351"/>
      <c r="B42" s="351"/>
      <c r="C42" s="351"/>
      <c r="D42" s="351"/>
      <c r="E42" s="351"/>
      <c r="F42" s="351"/>
      <c r="G42" s="351"/>
    </row>
    <row r="43" spans="1:7" s="302" customFormat="1" ht="15.75">
      <c r="A43" s="351"/>
      <c r="B43" s="351"/>
      <c r="C43" s="351"/>
      <c r="D43" s="351"/>
      <c r="E43" s="351"/>
      <c r="F43" s="351"/>
      <c r="G43" s="351"/>
    </row>
    <row r="44" spans="1:7" s="302" customFormat="1" ht="15.75">
      <c r="A44" s="351"/>
      <c r="B44" s="351"/>
      <c r="C44" s="351"/>
      <c r="D44" s="351"/>
      <c r="E44" s="351"/>
      <c r="F44" s="351"/>
      <c r="G44" s="351"/>
    </row>
    <row r="45" spans="1:7" s="302" customFormat="1" ht="15.75">
      <c r="A45" s="351"/>
      <c r="B45" s="351"/>
      <c r="C45" s="351"/>
      <c r="D45" s="351"/>
      <c r="E45" s="351"/>
      <c r="F45" s="351"/>
      <c r="G45" s="351"/>
    </row>
    <row r="46" spans="1:7" s="302" customFormat="1" ht="15.75">
      <c r="A46" s="351"/>
      <c r="B46" s="351"/>
      <c r="C46" s="351"/>
      <c r="D46" s="351"/>
      <c r="E46" s="351"/>
      <c r="F46" s="351"/>
      <c r="G46" s="351"/>
    </row>
    <row r="47" spans="1:7" s="302" customFormat="1" ht="15.75">
      <c r="A47" s="351"/>
      <c r="B47" s="351"/>
      <c r="C47" s="351"/>
      <c r="D47" s="351"/>
      <c r="E47" s="351"/>
      <c r="F47" s="351"/>
      <c r="G47" s="351"/>
    </row>
    <row r="48" spans="1:7" s="302" customFormat="1" ht="15.75">
      <c r="A48" s="351"/>
      <c r="B48" s="351"/>
      <c r="C48" s="351"/>
      <c r="D48" s="351"/>
      <c r="E48" s="351"/>
      <c r="F48" s="351"/>
      <c r="G48" s="351"/>
    </row>
    <row r="49" spans="1:7" s="302" customFormat="1" ht="15.75">
      <c r="A49" s="351"/>
      <c r="B49" s="351"/>
      <c r="C49" s="351"/>
      <c r="D49" s="351"/>
      <c r="E49" s="351"/>
      <c r="F49" s="351"/>
      <c r="G49" s="351"/>
    </row>
    <row r="50" spans="1:7" s="302" customFormat="1" ht="15.75">
      <c r="A50" s="351"/>
      <c r="B50" s="351"/>
      <c r="C50" s="351"/>
      <c r="D50" s="351"/>
      <c r="E50" s="351"/>
      <c r="F50" s="351"/>
      <c r="G50" s="351"/>
    </row>
    <row r="51" spans="1:7" s="302" customFormat="1" ht="15.75">
      <c r="A51" s="351"/>
      <c r="B51" s="351"/>
      <c r="C51" s="351"/>
      <c r="D51" s="351"/>
      <c r="E51" s="351"/>
      <c r="F51" s="351"/>
      <c r="G51" s="351"/>
    </row>
    <row r="52" spans="1:7" s="302" customFormat="1" ht="15.75">
      <c r="A52" s="351"/>
      <c r="B52" s="351"/>
      <c r="C52" s="351"/>
      <c r="D52" s="351"/>
      <c r="E52" s="351"/>
      <c r="F52" s="351"/>
      <c r="G52" s="351"/>
    </row>
    <row r="53" spans="1:7" s="302" customFormat="1" ht="15.75">
      <c r="A53" s="351"/>
      <c r="B53" s="351"/>
      <c r="C53" s="351"/>
      <c r="D53" s="351"/>
      <c r="E53" s="351"/>
      <c r="F53" s="351"/>
      <c r="G53" s="351"/>
    </row>
    <row r="54" spans="1:7" s="302" customFormat="1" ht="15.75">
      <c r="A54" s="342"/>
      <c r="B54" s="352" t="s">
        <v>2418</v>
      </c>
      <c r="C54" s="352"/>
      <c r="D54" s="352"/>
      <c r="E54" s="352"/>
      <c r="F54" s="352"/>
      <c r="G54" s="352"/>
    </row>
    <row r="55" spans="1:7" s="302" customFormat="1" ht="15.75">
      <c r="A55" s="342"/>
      <c r="B55" s="353"/>
      <c r="C55" s="353"/>
      <c r="D55" s="353"/>
      <c r="E55" s="353"/>
      <c r="F55" s="353"/>
      <c r="G55" s="353"/>
    </row>
    <row r="56" spans="1:7" s="302" customFormat="1" ht="15.75">
      <c r="A56" s="342"/>
      <c r="B56" s="352" t="s">
        <v>22</v>
      </c>
      <c r="C56" s="352"/>
      <c r="D56" s="352"/>
      <c r="E56" s="352"/>
      <c r="F56" s="352"/>
      <c r="G56" s="352"/>
    </row>
    <row r="57" spans="1:7" s="302" customFormat="1" ht="15.75">
      <c r="A57" s="342"/>
      <c r="B57" s="353"/>
      <c r="C57" s="353"/>
      <c r="D57" s="353"/>
      <c r="E57" s="353"/>
      <c r="F57" s="353"/>
      <c r="G57" s="353"/>
    </row>
    <row r="58" spans="1:7" s="302" customFormat="1" ht="15.75">
      <c r="A58" s="342"/>
      <c r="B58" s="352" t="s">
        <v>23</v>
      </c>
      <c r="C58" s="352"/>
      <c r="D58" s="352"/>
      <c r="E58" s="352"/>
      <c r="F58" s="352"/>
      <c r="G58" s="352"/>
    </row>
    <row r="59" spans="1:7" s="302" customFormat="1" ht="15.75">
      <c r="A59" s="342"/>
      <c r="B59" s="352" t="s">
        <v>24</v>
      </c>
      <c r="C59" s="352"/>
      <c r="D59" s="352"/>
      <c r="E59" s="352"/>
      <c r="F59" s="352"/>
      <c r="G59" s="352"/>
    </row>
    <row r="60" spans="1:7" s="303" customFormat="1" ht="15.75">
      <c r="A60" s="346"/>
      <c r="B60" s="346"/>
      <c r="E60" s="333"/>
    </row>
  </sheetData>
  <mergeCells count="21">
    <mergeCell ref="A1:F1"/>
    <mergeCell ref="E2:E3"/>
    <mergeCell ref="F2:F3"/>
    <mergeCell ref="A2:A3"/>
    <mergeCell ref="B2:B3"/>
    <mergeCell ref="C2:C3"/>
    <mergeCell ref="D2:D3"/>
    <mergeCell ref="A25:B25"/>
    <mergeCell ref="A8:A10"/>
    <mergeCell ref="B8:B10"/>
    <mergeCell ref="A12:A13"/>
    <mergeCell ref="B12:B13"/>
    <mergeCell ref="A15:A21"/>
    <mergeCell ref="B15:B21"/>
    <mergeCell ref="A24:B24"/>
    <mergeCell ref="A4:A6"/>
    <mergeCell ref="C4:C6"/>
    <mergeCell ref="C8:C10"/>
    <mergeCell ref="C12:C13"/>
    <mergeCell ref="C15:C21"/>
    <mergeCell ref="B4:B6"/>
  </mergeCells>
  <phoneticPr fontId="4" type="noConversion"/>
  <pageMargins left="0.7" right="0.7" top="0.75" bottom="0.75" header="0.3" footer="0.3"/>
  <pageSetup paperSize="9" scale="53" orientation="portrait" r:id="rId1"/>
</worksheet>
</file>

<file path=xl/worksheets/sheet62.xml><?xml version="1.0" encoding="utf-8"?>
<worksheet xmlns="http://schemas.openxmlformats.org/spreadsheetml/2006/main" xmlns:r="http://schemas.openxmlformats.org/officeDocument/2006/relationships">
  <dimension ref="A1:G59"/>
  <sheetViews>
    <sheetView zoomScale="70" zoomScaleNormal="70" workbookViewId="0">
      <selection sqref="A1:G1"/>
    </sheetView>
  </sheetViews>
  <sheetFormatPr defaultRowHeight="21"/>
  <cols>
    <col min="1" max="1" width="16.140625" style="873" customWidth="1"/>
    <col min="2" max="2" width="36.7109375" style="874" customWidth="1"/>
    <col min="3" max="3" width="16" style="874" customWidth="1"/>
    <col min="4" max="4" width="13.28515625" style="875" customWidth="1"/>
    <col min="5" max="5" width="72.7109375" style="875" customWidth="1"/>
    <col min="6" max="6" width="17.28515625" style="875" customWidth="1"/>
    <col min="7" max="7" width="27.28515625" style="876" customWidth="1"/>
  </cols>
  <sheetData>
    <row r="1" spans="1:7" ht="158.25" customHeight="1">
      <c r="A1" s="1564" t="s">
        <v>1670</v>
      </c>
      <c r="B1" s="1565"/>
      <c r="C1" s="1565"/>
      <c r="D1" s="1565"/>
      <c r="E1" s="1565"/>
      <c r="F1" s="1565"/>
      <c r="G1" s="1565"/>
    </row>
    <row r="2" spans="1:7" s="379" customFormat="1" ht="103.5" customHeight="1">
      <c r="A2" s="861" t="s">
        <v>434</v>
      </c>
      <c r="B2" s="788" t="s">
        <v>1671</v>
      </c>
      <c r="C2" s="794" t="s">
        <v>2255</v>
      </c>
      <c r="D2" s="861" t="s">
        <v>1443</v>
      </c>
      <c r="E2" s="861" t="s">
        <v>1672</v>
      </c>
      <c r="F2" s="794" t="s">
        <v>2256</v>
      </c>
      <c r="G2" s="789" t="s">
        <v>399</v>
      </c>
    </row>
    <row r="3" spans="1:7" ht="98.25" customHeight="1">
      <c r="A3" s="1566">
        <v>1</v>
      </c>
      <c r="B3" s="1567" t="s">
        <v>1673</v>
      </c>
      <c r="C3" s="1568">
        <v>0.22222222222222221</v>
      </c>
      <c r="D3" s="861">
        <v>1</v>
      </c>
      <c r="E3" s="790" t="s">
        <v>1674</v>
      </c>
      <c r="F3" s="867">
        <v>0.26666666666666666</v>
      </c>
      <c r="G3" s="789"/>
    </row>
    <row r="4" spans="1:7" ht="78.75" customHeight="1">
      <c r="A4" s="1566"/>
      <c r="B4" s="1567"/>
      <c r="C4" s="1569"/>
      <c r="D4" s="861">
        <v>2</v>
      </c>
      <c r="E4" s="790" t="s">
        <v>1675</v>
      </c>
      <c r="F4" s="867">
        <v>0.2</v>
      </c>
      <c r="G4" s="789"/>
    </row>
    <row r="5" spans="1:7" ht="70.5" customHeight="1">
      <c r="A5" s="1566"/>
      <c r="B5" s="1567"/>
      <c r="C5" s="1569"/>
      <c r="D5" s="861">
        <v>3</v>
      </c>
      <c r="E5" s="790" t="s">
        <v>1676</v>
      </c>
      <c r="F5" s="867">
        <v>0.3</v>
      </c>
      <c r="G5" s="789"/>
    </row>
    <row r="6" spans="1:7" ht="64.5" customHeight="1">
      <c r="A6" s="1566"/>
      <c r="B6" s="1567"/>
      <c r="C6" s="1570"/>
      <c r="D6" s="861">
        <v>4</v>
      </c>
      <c r="E6" s="790" t="s">
        <v>1677</v>
      </c>
      <c r="F6" s="867">
        <v>0.23333333333333334</v>
      </c>
      <c r="G6" s="789"/>
    </row>
    <row r="7" spans="1:7" s="868" customFormat="1" ht="21.75" customHeight="1">
      <c r="A7" s="791"/>
      <c r="B7" s="792"/>
      <c r="C7" s="792"/>
      <c r="D7" s="791"/>
      <c r="E7" s="793"/>
      <c r="F7" s="867">
        <f>SUM(F3:F6)</f>
        <v>1</v>
      </c>
      <c r="G7" s="794"/>
    </row>
    <row r="8" spans="1:7" ht="66" customHeight="1">
      <c r="A8" s="1566">
        <v>2</v>
      </c>
      <c r="B8" s="1567" t="s">
        <v>1678</v>
      </c>
      <c r="C8" s="1568">
        <v>0.3888888888888889</v>
      </c>
      <c r="D8" s="861">
        <v>1</v>
      </c>
      <c r="E8" s="790" t="s">
        <v>1679</v>
      </c>
      <c r="F8" s="867">
        <v>0.12698412698412698</v>
      </c>
      <c r="G8" s="789"/>
    </row>
    <row r="9" spans="1:7" ht="83.25" customHeight="1">
      <c r="A9" s="1566"/>
      <c r="B9" s="1567"/>
      <c r="C9" s="1569"/>
      <c r="D9" s="861">
        <v>2</v>
      </c>
      <c r="E9" s="790" t="s">
        <v>1680</v>
      </c>
      <c r="F9" s="867">
        <v>0.14285714285714285</v>
      </c>
      <c r="G9" s="789"/>
    </row>
    <row r="10" spans="1:7" ht="25.5" customHeight="1">
      <c r="A10" s="1566"/>
      <c r="B10" s="1567"/>
      <c r="C10" s="1569"/>
      <c r="D10" s="861">
        <v>3</v>
      </c>
      <c r="E10" s="790" t="s">
        <v>1681</v>
      </c>
      <c r="F10" s="867">
        <v>0.15873015873015875</v>
      </c>
      <c r="G10" s="789"/>
    </row>
    <row r="11" spans="1:7" ht="60.75" customHeight="1">
      <c r="A11" s="1566"/>
      <c r="B11" s="1567"/>
      <c r="C11" s="1569"/>
      <c r="D11" s="861">
        <v>4</v>
      </c>
      <c r="E11" s="790" t="s">
        <v>1682</v>
      </c>
      <c r="F11" s="867">
        <v>0.22222222222222224</v>
      </c>
      <c r="G11" s="789"/>
    </row>
    <row r="12" spans="1:7" ht="64.5" customHeight="1">
      <c r="A12" s="1566"/>
      <c r="B12" s="1567"/>
      <c r="C12" s="1569"/>
      <c r="D12" s="861">
        <v>5</v>
      </c>
      <c r="E12" s="790" t="s">
        <v>2101</v>
      </c>
      <c r="F12" s="867">
        <v>0.15873015873015875</v>
      </c>
      <c r="G12" s="789"/>
    </row>
    <row r="13" spans="1:7" ht="70.5" customHeight="1">
      <c r="A13" s="1566"/>
      <c r="B13" s="1567"/>
      <c r="C13" s="1570"/>
      <c r="D13" s="861">
        <v>6</v>
      </c>
      <c r="E13" s="790" t="s">
        <v>2102</v>
      </c>
      <c r="F13" s="867">
        <v>0.19047619047619047</v>
      </c>
      <c r="G13" s="789"/>
    </row>
    <row r="14" spans="1:7" s="868" customFormat="1" ht="19.5" customHeight="1">
      <c r="A14" s="791"/>
      <c r="B14" s="792"/>
      <c r="C14" s="792"/>
      <c r="D14" s="791"/>
      <c r="E14" s="791"/>
      <c r="F14" s="794">
        <f>SUM(F8:F13)</f>
        <v>1</v>
      </c>
      <c r="G14" s="794"/>
    </row>
    <row r="15" spans="1:7" ht="57.75" customHeight="1">
      <c r="A15" s="1566">
        <v>3</v>
      </c>
      <c r="B15" s="1567" t="s">
        <v>2103</v>
      </c>
      <c r="C15" s="1568">
        <v>0.3888888888888889</v>
      </c>
      <c r="D15" s="861">
        <v>1</v>
      </c>
      <c r="E15" s="790" t="s">
        <v>2104</v>
      </c>
      <c r="F15" s="794">
        <v>0.17857142857142858</v>
      </c>
      <c r="G15" s="789"/>
    </row>
    <row r="16" spans="1:7" ht="36.75" customHeight="1">
      <c r="A16" s="1566"/>
      <c r="B16" s="1567"/>
      <c r="C16" s="1569"/>
      <c r="D16" s="861">
        <v>2</v>
      </c>
      <c r="E16" s="790" t="s">
        <v>2105</v>
      </c>
      <c r="F16" s="794">
        <v>0.15476190476190474</v>
      </c>
      <c r="G16" s="789"/>
    </row>
    <row r="17" spans="1:7" ht="41.25" customHeight="1">
      <c r="A17" s="1566"/>
      <c r="B17" s="1567"/>
      <c r="C17" s="1569"/>
      <c r="D17" s="861">
        <v>3</v>
      </c>
      <c r="E17" s="790" t="s">
        <v>2106</v>
      </c>
      <c r="F17" s="794">
        <v>8.3333333333333343E-2</v>
      </c>
      <c r="G17" s="789"/>
    </row>
    <row r="18" spans="1:7" ht="38.25" customHeight="1">
      <c r="A18" s="1566"/>
      <c r="B18" s="1567"/>
      <c r="C18" s="1569"/>
      <c r="D18" s="861">
        <v>4</v>
      </c>
      <c r="E18" s="790" t="s">
        <v>2107</v>
      </c>
      <c r="F18" s="794">
        <v>0.13095238095238096</v>
      </c>
      <c r="G18" s="789"/>
    </row>
    <row r="19" spans="1:7" ht="37.5" customHeight="1">
      <c r="A19" s="1566"/>
      <c r="B19" s="1567"/>
      <c r="C19" s="1569"/>
      <c r="D19" s="861">
        <v>5</v>
      </c>
      <c r="E19" s="790" t="s">
        <v>2108</v>
      </c>
      <c r="F19" s="794">
        <v>0.11904761904761905</v>
      </c>
      <c r="G19" s="789"/>
    </row>
    <row r="20" spans="1:7" ht="47.25" customHeight="1">
      <c r="A20" s="1566"/>
      <c r="B20" s="1567"/>
      <c r="C20" s="1569"/>
      <c r="D20" s="861">
        <v>6</v>
      </c>
      <c r="E20" s="790" t="s">
        <v>2109</v>
      </c>
      <c r="F20" s="794">
        <v>0.14285714285714285</v>
      </c>
      <c r="G20" s="789"/>
    </row>
    <row r="21" spans="1:7" ht="21.75" customHeight="1">
      <c r="A21" s="1566"/>
      <c r="B21" s="1567"/>
      <c r="C21" s="1570"/>
      <c r="D21" s="861">
        <v>7</v>
      </c>
      <c r="E21" s="790" t="s">
        <v>2110</v>
      </c>
      <c r="F21" s="794">
        <v>0.19047619047619047</v>
      </c>
      <c r="G21" s="789"/>
    </row>
    <row r="22" spans="1:7" ht="20.25">
      <c r="A22" s="791"/>
      <c r="B22" s="792"/>
      <c r="C22" s="867">
        <f>C15+C8+C3</f>
        <v>1</v>
      </c>
      <c r="D22" s="791"/>
      <c r="E22" s="793"/>
      <c r="F22" s="794">
        <f>SUM(F15:F21)</f>
        <v>1</v>
      </c>
      <c r="G22" s="794"/>
    </row>
    <row r="23" spans="1:7">
      <c r="A23" s="869"/>
      <c r="B23" s="870" t="s">
        <v>1640</v>
      </c>
      <c r="C23" s="870"/>
      <c r="D23" s="869"/>
      <c r="E23" s="869"/>
      <c r="F23" s="869"/>
      <c r="G23" s="869"/>
    </row>
    <row r="24" spans="1:7">
      <c r="A24" s="869"/>
      <c r="B24" s="870" t="s">
        <v>444</v>
      </c>
      <c r="C24" s="870"/>
      <c r="D24" s="869"/>
      <c r="E24" s="869"/>
      <c r="F24" s="869"/>
      <c r="G24" s="871"/>
    </row>
    <row r="25" spans="1:7" s="302" customFormat="1" ht="15.75">
      <c r="A25" s="288" t="s">
        <v>182</v>
      </c>
      <c r="B25" s="289"/>
      <c r="C25" s="342"/>
      <c r="E25" s="343"/>
      <c r="F25" s="344"/>
      <c r="G25" s="112"/>
    </row>
    <row r="26" spans="1:7" s="302" customFormat="1" ht="17.25">
      <c r="A26" s="345" t="s">
        <v>589</v>
      </c>
      <c r="B26" s="346"/>
      <c r="C26" s="347"/>
      <c r="D26" s="303"/>
      <c r="E26" s="348"/>
      <c r="F26" s="349"/>
      <c r="G26" s="112"/>
    </row>
    <row r="27" spans="1:7" s="302" customFormat="1" ht="17.25">
      <c r="A27" s="345" t="s">
        <v>590</v>
      </c>
      <c r="B27" s="346"/>
      <c r="C27" s="347"/>
      <c r="D27" s="303"/>
      <c r="E27" s="348"/>
      <c r="F27" s="349"/>
      <c r="G27" s="112"/>
    </row>
    <row r="28" spans="1:7" s="302" customFormat="1" ht="17.25">
      <c r="A28" s="345" t="s">
        <v>591</v>
      </c>
      <c r="B28" s="346"/>
      <c r="C28" s="347"/>
      <c r="D28" s="303"/>
      <c r="E28" s="348"/>
      <c r="F28" s="349"/>
      <c r="G28" s="112"/>
    </row>
    <row r="29" spans="1:7" s="302" customFormat="1" ht="17.25">
      <c r="A29" s="345" t="s">
        <v>592</v>
      </c>
      <c r="B29" s="346"/>
      <c r="C29" s="347"/>
      <c r="D29" s="303"/>
      <c r="E29" s="348"/>
      <c r="F29" s="349"/>
      <c r="G29" s="112"/>
    </row>
    <row r="30" spans="1:7" s="302" customFormat="1" ht="17.25">
      <c r="A30" s="345" t="s">
        <v>593</v>
      </c>
      <c r="B30" s="346"/>
      <c r="C30" s="347"/>
      <c r="D30" s="303"/>
      <c r="E30" s="348"/>
      <c r="F30" s="349"/>
      <c r="G30" s="112"/>
    </row>
    <row r="31" spans="1:7" s="302" customFormat="1" ht="17.25">
      <c r="A31" s="345" t="s">
        <v>594</v>
      </c>
      <c r="B31" s="346"/>
      <c r="C31" s="347"/>
      <c r="D31" s="303"/>
      <c r="E31" s="348"/>
      <c r="F31" s="349"/>
      <c r="G31" s="112"/>
    </row>
    <row r="32" spans="1:7" s="302" customFormat="1" ht="17.25">
      <c r="A32" s="345" t="s">
        <v>595</v>
      </c>
      <c r="B32" s="346"/>
      <c r="C32" s="347"/>
      <c r="D32" s="303"/>
      <c r="E32" s="348"/>
      <c r="F32" s="349"/>
      <c r="G32" s="112"/>
    </row>
    <row r="33" spans="1:7" s="302" customFormat="1" ht="15.75">
      <c r="A33" s="350" t="s">
        <v>596</v>
      </c>
      <c r="B33" s="346"/>
      <c r="C33" s="347"/>
      <c r="D33" s="303"/>
      <c r="E33" s="348"/>
      <c r="F33" s="349"/>
      <c r="G33" s="112"/>
    </row>
    <row r="34" spans="1:7" s="302" customFormat="1" ht="15.75">
      <c r="A34" s="345" t="s">
        <v>597</v>
      </c>
      <c r="B34" s="346"/>
      <c r="C34" s="347"/>
      <c r="D34" s="303"/>
      <c r="E34" s="348"/>
      <c r="F34" s="349"/>
      <c r="G34" s="112"/>
    </row>
    <row r="35" spans="1:7" s="302" customFormat="1" ht="15.75">
      <c r="A35" s="288" t="s">
        <v>792</v>
      </c>
      <c r="B35" s="346"/>
      <c r="C35" s="347"/>
      <c r="D35" s="303"/>
      <c r="E35" s="348"/>
      <c r="F35" s="349"/>
      <c r="G35" s="112"/>
    </row>
    <row r="36" spans="1:7" s="302" customFormat="1" ht="15.75">
      <c r="A36" s="288" t="s">
        <v>793</v>
      </c>
      <c r="B36" s="346"/>
      <c r="C36" s="347"/>
      <c r="D36" s="303"/>
      <c r="E36" s="348"/>
      <c r="F36" s="349"/>
      <c r="G36" s="112"/>
    </row>
    <row r="37" spans="1:7" s="302" customFormat="1" ht="15.75">
      <c r="A37" s="288" t="s">
        <v>794</v>
      </c>
      <c r="B37" s="346"/>
      <c r="C37" s="347"/>
      <c r="D37" s="303"/>
      <c r="E37" s="348"/>
      <c r="F37" s="349"/>
      <c r="G37" s="112"/>
    </row>
    <row r="38" spans="1:7" s="302" customFormat="1" ht="15.75">
      <c r="A38" s="342"/>
      <c r="B38" s="342" t="s">
        <v>20</v>
      </c>
      <c r="C38" s="342"/>
      <c r="D38" s="342"/>
      <c r="E38" s="342"/>
      <c r="F38" s="342"/>
      <c r="G38" s="342"/>
    </row>
    <row r="39" spans="1:7" s="302" customFormat="1" ht="15.75">
      <c r="A39" s="351"/>
      <c r="B39" s="351"/>
      <c r="C39" s="351"/>
      <c r="D39" s="351"/>
      <c r="E39" s="351"/>
      <c r="F39" s="351"/>
      <c r="G39" s="351"/>
    </row>
    <row r="40" spans="1:7" s="302" customFormat="1" ht="15.75">
      <c r="A40" s="351"/>
      <c r="B40" s="351"/>
      <c r="C40" s="351"/>
      <c r="D40" s="351"/>
      <c r="E40" s="351"/>
      <c r="F40" s="351"/>
      <c r="G40" s="351"/>
    </row>
    <row r="41" spans="1:7" s="302" customFormat="1" ht="15.75">
      <c r="A41" s="351"/>
      <c r="B41" s="351"/>
      <c r="C41" s="351"/>
      <c r="D41" s="351"/>
      <c r="E41" s="351"/>
      <c r="F41" s="351"/>
      <c r="G41" s="351"/>
    </row>
    <row r="42" spans="1:7" s="302" customFormat="1" ht="15.75">
      <c r="A42" s="351"/>
      <c r="B42" s="351"/>
      <c r="C42" s="351"/>
      <c r="D42" s="351"/>
      <c r="E42" s="351"/>
      <c r="F42" s="351"/>
      <c r="G42" s="351"/>
    </row>
    <row r="43" spans="1:7" s="302" customFormat="1" ht="15.75">
      <c r="A43" s="351"/>
      <c r="B43" s="351"/>
      <c r="C43" s="351"/>
      <c r="D43" s="351"/>
      <c r="E43" s="351"/>
      <c r="F43" s="351"/>
      <c r="G43" s="351"/>
    </row>
    <row r="44" spans="1:7" s="302" customFormat="1" ht="15.75">
      <c r="A44" s="351"/>
      <c r="B44" s="351"/>
      <c r="C44" s="351"/>
      <c r="D44" s="351"/>
      <c r="E44" s="351"/>
      <c r="F44" s="351"/>
      <c r="G44" s="351"/>
    </row>
    <row r="45" spans="1:7" s="302" customFormat="1" ht="15.75">
      <c r="A45" s="351"/>
      <c r="B45" s="351"/>
      <c r="C45" s="351"/>
      <c r="D45" s="351"/>
      <c r="E45" s="351"/>
      <c r="F45" s="351"/>
      <c r="G45" s="351"/>
    </row>
    <row r="46" spans="1:7" s="302" customFormat="1" ht="15.75">
      <c r="A46" s="351"/>
      <c r="B46" s="351"/>
      <c r="C46" s="351"/>
      <c r="D46" s="351"/>
      <c r="E46" s="351"/>
      <c r="F46" s="351"/>
      <c r="G46" s="351"/>
    </row>
    <row r="47" spans="1:7" s="302" customFormat="1" ht="15.75">
      <c r="A47" s="351"/>
      <c r="B47" s="351"/>
      <c r="C47" s="351"/>
      <c r="D47" s="351"/>
      <c r="E47" s="351"/>
      <c r="F47" s="351"/>
      <c r="G47" s="351"/>
    </row>
    <row r="48" spans="1:7" s="302" customFormat="1" ht="15.75">
      <c r="A48" s="351"/>
      <c r="B48" s="351"/>
      <c r="C48" s="351"/>
      <c r="D48" s="351"/>
      <c r="E48" s="351"/>
      <c r="F48" s="351"/>
      <c r="G48" s="351"/>
    </row>
    <row r="49" spans="1:7" s="302" customFormat="1" ht="15.75">
      <c r="A49" s="351"/>
      <c r="B49" s="351"/>
      <c r="C49" s="351"/>
      <c r="D49" s="351"/>
      <c r="E49" s="351"/>
      <c r="F49" s="351"/>
      <c r="G49" s="351"/>
    </row>
    <row r="50" spans="1:7" s="302" customFormat="1" ht="15.75">
      <c r="A50" s="351"/>
      <c r="B50" s="351"/>
      <c r="C50" s="351"/>
      <c r="D50" s="351"/>
      <c r="E50" s="351"/>
      <c r="F50" s="351"/>
      <c r="G50" s="351"/>
    </row>
    <row r="51" spans="1:7" s="302" customFormat="1" ht="15.75">
      <c r="A51" s="351"/>
      <c r="B51" s="351"/>
      <c r="C51" s="351"/>
      <c r="D51" s="351"/>
      <c r="E51" s="351"/>
      <c r="F51" s="351"/>
      <c r="G51" s="351"/>
    </row>
    <row r="52" spans="1:7" s="302" customFormat="1" ht="15.75">
      <c r="A52" s="351"/>
      <c r="B52" s="351"/>
      <c r="C52" s="351"/>
      <c r="D52" s="351"/>
      <c r="E52" s="351"/>
      <c r="F52" s="351"/>
      <c r="G52" s="351"/>
    </row>
    <row r="53" spans="1:7" s="302" customFormat="1" ht="15.75">
      <c r="A53" s="342"/>
      <c r="B53" s="352" t="s">
        <v>2418</v>
      </c>
      <c r="C53" s="352"/>
      <c r="D53" s="352"/>
      <c r="E53" s="352"/>
      <c r="F53" s="352"/>
      <c r="G53" s="352"/>
    </row>
    <row r="54" spans="1:7" s="302" customFormat="1" ht="15.75">
      <c r="A54" s="342"/>
      <c r="B54" s="353"/>
      <c r="C54" s="353"/>
      <c r="D54" s="353"/>
      <c r="E54" s="353"/>
      <c r="F54" s="353"/>
      <c r="G54" s="353"/>
    </row>
    <row r="55" spans="1:7" s="302" customFormat="1" ht="15.75">
      <c r="A55" s="342"/>
      <c r="B55" s="352" t="s">
        <v>22</v>
      </c>
      <c r="C55" s="352"/>
      <c r="D55" s="352"/>
      <c r="E55" s="352"/>
      <c r="F55" s="352"/>
      <c r="G55" s="352"/>
    </row>
    <row r="56" spans="1:7" s="302" customFormat="1" ht="15.75">
      <c r="A56" s="342"/>
      <c r="B56" s="353"/>
      <c r="C56" s="353"/>
      <c r="D56" s="353"/>
      <c r="E56" s="353"/>
      <c r="F56" s="353"/>
      <c r="G56" s="353"/>
    </row>
    <row r="57" spans="1:7" s="302" customFormat="1" ht="15.75">
      <c r="A57" s="342"/>
      <c r="B57" s="352" t="s">
        <v>23</v>
      </c>
      <c r="C57" s="352"/>
      <c r="D57" s="352"/>
      <c r="E57" s="352"/>
      <c r="F57" s="352"/>
      <c r="G57" s="352"/>
    </row>
    <row r="58" spans="1:7" s="302" customFormat="1" ht="15.75">
      <c r="A58" s="342"/>
      <c r="B58" s="352" t="s">
        <v>24</v>
      </c>
      <c r="C58" s="352"/>
      <c r="D58" s="352"/>
      <c r="E58" s="352"/>
      <c r="F58" s="352"/>
      <c r="G58" s="352"/>
    </row>
    <row r="59" spans="1:7" s="303" customFormat="1" ht="15.75">
      <c r="A59" s="346"/>
      <c r="B59" s="346"/>
      <c r="E59" s="333"/>
    </row>
  </sheetData>
  <mergeCells count="10">
    <mergeCell ref="A1:G1"/>
    <mergeCell ref="A8:A13"/>
    <mergeCell ref="B8:B13"/>
    <mergeCell ref="C8:C13"/>
    <mergeCell ref="A15:A21"/>
    <mergeCell ref="B15:B21"/>
    <mergeCell ref="C15:C21"/>
    <mergeCell ref="A3:A6"/>
    <mergeCell ref="B3:B6"/>
    <mergeCell ref="C3:C6"/>
  </mergeCells>
  <phoneticPr fontId="4" type="noConversion"/>
  <pageMargins left="0.7" right="0.7" top="0.75" bottom="0.75" header="0.3" footer="0.3"/>
  <pageSetup paperSize="9" scale="43" orientation="portrait" r:id="rId1"/>
</worksheet>
</file>

<file path=xl/worksheets/sheet63.xml><?xml version="1.0" encoding="utf-8"?>
<worksheet xmlns="http://schemas.openxmlformats.org/spreadsheetml/2006/main" xmlns:r="http://schemas.openxmlformats.org/officeDocument/2006/relationships">
  <dimension ref="A1:H83"/>
  <sheetViews>
    <sheetView workbookViewId="0">
      <selection activeCell="A2" sqref="A2:G2"/>
    </sheetView>
  </sheetViews>
  <sheetFormatPr defaultRowHeight="15.75"/>
  <cols>
    <col min="1" max="1" width="7" style="289" bestFit="1" customWidth="1"/>
    <col min="2" max="2" width="22" style="289" customWidth="1"/>
    <col min="3" max="3" width="11.5703125" style="25" customWidth="1"/>
    <col min="4" max="4" width="40.42578125" style="418" customWidth="1"/>
    <col min="5" max="5" width="13.85546875" style="332" customWidth="1"/>
    <col min="6" max="6" width="14.5703125" style="25" bestFit="1" customWidth="1"/>
    <col min="7" max="7" width="16" style="25" customWidth="1"/>
    <col min="8" max="16384" width="9.140625" style="25"/>
  </cols>
  <sheetData>
    <row r="1" spans="1:7">
      <c r="A1" s="1131" t="s">
        <v>446</v>
      </c>
      <c r="B1" s="1131"/>
      <c r="C1" s="1131"/>
      <c r="D1" s="1131"/>
      <c r="E1" s="1131"/>
      <c r="F1" s="1131"/>
      <c r="G1" s="1131"/>
    </row>
    <row r="2" spans="1:7" ht="62.25" customHeight="1">
      <c r="A2" s="1131" t="s">
        <v>1187</v>
      </c>
      <c r="B2" s="1131"/>
      <c r="C2" s="1131"/>
      <c r="D2" s="1131"/>
      <c r="E2" s="1131"/>
      <c r="F2" s="1131"/>
      <c r="G2" s="1131"/>
    </row>
    <row r="4" spans="1:7" ht="63">
      <c r="A4" s="287" t="s">
        <v>434</v>
      </c>
      <c r="B4" s="287" t="s">
        <v>338</v>
      </c>
      <c r="C4" s="287" t="s">
        <v>771</v>
      </c>
      <c r="D4" s="410" t="s">
        <v>333</v>
      </c>
      <c r="E4" s="287" t="s">
        <v>337</v>
      </c>
      <c r="F4" s="287" t="s">
        <v>770</v>
      </c>
      <c r="G4" s="5" t="s">
        <v>82</v>
      </c>
    </row>
    <row r="5" spans="1:7" ht="54" customHeight="1">
      <c r="A5" s="20">
        <v>1</v>
      </c>
      <c r="B5" s="304" t="s">
        <v>723</v>
      </c>
      <c r="C5" s="310"/>
      <c r="D5" s="411" t="s">
        <v>1188</v>
      </c>
      <c r="E5" s="310">
        <v>0.35</v>
      </c>
      <c r="F5" s="20"/>
      <c r="G5" s="286">
        <f>F5*E5</f>
        <v>0</v>
      </c>
    </row>
    <row r="6" spans="1:7" ht="87" customHeight="1">
      <c r="A6" s="20"/>
      <c r="B6" s="304"/>
      <c r="C6" s="310"/>
      <c r="D6" s="411" t="s">
        <v>1189</v>
      </c>
      <c r="E6" s="310">
        <v>0.65</v>
      </c>
      <c r="F6" s="20"/>
      <c r="G6" s="286">
        <f t="shared" ref="G6:G42" si="0">F6*E6</f>
        <v>0</v>
      </c>
    </row>
    <row r="7" spans="1:7">
      <c r="A7" s="27"/>
      <c r="B7" s="28" t="s">
        <v>848</v>
      </c>
      <c r="C7" s="29">
        <v>0.04</v>
      </c>
      <c r="D7" s="41"/>
      <c r="E7" s="29">
        <f>SUM(E5:E6)</f>
        <v>1</v>
      </c>
      <c r="F7" s="27" t="s">
        <v>46</v>
      </c>
      <c r="G7" s="27">
        <f>SUM(G5:G6)*C7</f>
        <v>0</v>
      </c>
    </row>
    <row r="8" spans="1:7" ht="126">
      <c r="A8" s="20">
        <v>2</v>
      </c>
      <c r="B8" s="304" t="s">
        <v>1190</v>
      </c>
      <c r="C8" s="20"/>
      <c r="D8" s="412" t="s">
        <v>1191</v>
      </c>
      <c r="E8" s="310">
        <v>0.1</v>
      </c>
      <c r="F8" s="323"/>
      <c r="G8" s="286">
        <f t="shared" si="0"/>
        <v>0</v>
      </c>
    </row>
    <row r="9" spans="1:7" ht="31.5">
      <c r="A9" s="20"/>
      <c r="B9" s="304"/>
      <c r="C9" s="20"/>
      <c r="D9" s="412" t="s">
        <v>1192</v>
      </c>
      <c r="E9" s="310">
        <v>0.1</v>
      </c>
      <c r="F9" s="323"/>
      <c r="G9" s="286">
        <f t="shared" si="0"/>
        <v>0</v>
      </c>
    </row>
    <row r="10" spans="1:7" ht="25.5" customHeight="1">
      <c r="A10" s="20"/>
      <c r="B10" s="304"/>
      <c r="C10" s="20"/>
      <c r="D10" s="412" t="s">
        <v>1193</v>
      </c>
      <c r="E10" s="310">
        <v>0.2</v>
      </c>
      <c r="F10" s="323"/>
      <c r="G10" s="286">
        <f t="shared" si="0"/>
        <v>0</v>
      </c>
    </row>
    <row r="11" spans="1:7" ht="31.5">
      <c r="A11" s="20"/>
      <c r="B11" s="20"/>
      <c r="C11" s="20"/>
      <c r="D11" s="412" t="s">
        <v>1194</v>
      </c>
      <c r="E11" s="310">
        <v>0.3</v>
      </c>
      <c r="F11" s="323"/>
      <c r="G11" s="286">
        <f t="shared" si="0"/>
        <v>0</v>
      </c>
    </row>
    <row r="12" spans="1:7" ht="47.25">
      <c r="A12" s="20"/>
      <c r="B12" s="20"/>
      <c r="C12" s="20"/>
      <c r="D12" s="412" t="s">
        <v>1195</v>
      </c>
      <c r="E12" s="310">
        <v>0.2</v>
      </c>
      <c r="F12" s="323"/>
      <c r="G12" s="286"/>
    </row>
    <row r="13" spans="1:7">
      <c r="A13" s="20"/>
      <c r="B13" s="20"/>
      <c r="C13" s="20"/>
      <c r="D13" s="412" t="s">
        <v>1196</v>
      </c>
      <c r="E13" s="310">
        <v>0.1</v>
      </c>
      <c r="F13" s="323"/>
      <c r="G13" s="286"/>
    </row>
    <row r="14" spans="1:7">
      <c r="A14" s="27"/>
      <c r="B14" s="28" t="s">
        <v>848</v>
      </c>
      <c r="C14" s="29">
        <v>0.09</v>
      </c>
      <c r="D14" s="41"/>
      <c r="E14" s="29">
        <f>SUM(E8:E13)</f>
        <v>0.99999999999999989</v>
      </c>
      <c r="F14" s="27" t="s">
        <v>47</v>
      </c>
      <c r="G14" s="27">
        <f>SUM(G8:G12)*C14</f>
        <v>0</v>
      </c>
    </row>
    <row r="15" spans="1:7" ht="65.25" customHeight="1">
      <c r="A15" s="20">
        <v>3</v>
      </c>
      <c r="B15" s="327" t="s">
        <v>1197</v>
      </c>
      <c r="C15" s="310"/>
      <c r="D15" s="413" t="s">
        <v>1198</v>
      </c>
      <c r="E15" s="310">
        <v>0.5</v>
      </c>
      <c r="F15" s="323"/>
      <c r="G15" s="286">
        <f t="shared" si="0"/>
        <v>0</v>
      </c>
    </row>
    <row r="16" spans="1:7" ht="31.5">
      <c r="A16" s="20"/>
      <c r="B16" s="327"/>
      <c r="C16" s="310"/>
      <c r="D16" s="413" t="s">
        <v>1199</v>
      </c>
      <c r="E16" s="310">
        <v>0.5</v>
      </c>
      <c r="F16" s="323"/>
      <c r="G16" s="286">
        <f t="shared" si="0"/>
        <v>0</v>
      </c>
    </row>
    <row r="17" spans="1:7">
      <c r="A17" s="27"/>
      <c r="B17" s="28" t="s">
        <v>848</v>
      </c>
      <c r="C17" s="29">
        <v>0.09</v>
      </c>
      <c r="D17" s="41"/>
      <c r="E17" s="29">
        <f>SUM(E15:E16)</f>
        <v>1</v>
      </c>
      <c r="F17" s="27" t="s">
        <v>48</v>
      </c>
      <c r="G17" s="27">
        <f>SUM(G15:G16)*C17</f>
        <v>0</v>
      </c>
    </row>
    <row r="18" spans="1:7" ht="78.75">
      <c r="A18" s="20">
        <v>4</v>
      </c>
      <c r="B18" s="389" t="s">
        <v>1200</v>
      </c>
      <c r="C18" s="310"/>
      <c r="D18" s="414" t="s">
        <v>1201</v>
      </c>
      <c r="E18" s="310">
        <v>0.25</v>
      </c>
      <c r="F18" s="323"/>
      <c r="G18" s="286">
        <f t="shared" si="0"/>
        <v>0</v>
      </c>
    </row>
    <row r="19" spans="1:7" ht="31.5">
      <c r="A19" s="20"/>
      <c r="B19" s="327"/>
      <c r="C19" s="310"/>
      <c r="D19" s="414" t="s">
        <v>1202</v>
      </c>
      <c r="E19" s="310">
        <v>0.2</v>
      </c>
      <c r="F19" s="323"/>
      <c r="G19" s="286">
        <f t="shared" si="0"/>
        <v>0</v>
      </c>
    </row>
    <row r="20" spans="1:7" ht="47.25">
      <c r="A20" s="20"/>
      <c r="B20" s="327"/>
      <c r="C20" s="310"/>
      <c r="D20" s="412" t="s">
        <v>1203</v>
      </c>
      <c r="E20" s="310">
        <v>0.1</v>
      </c>
      <c r="F20" s="323"/>
      <c r="G20" s="286">
        <f t="shared" si="0"/>
        <v>0</v>
      </c>
    </row>
    <row r="21" spans="1:7" ht="31.5">
      <c r="A21" s="20"/>
      <c r="B21" s="327"/>
      <c r="C21" s="310"/>
      <c r="D21" s="412" t="s">
        <v>1204</v>
      </c>
      <c r="E21" s="310">
        <v>0.1</v>
      </c>
      <c r="F21" s="323"/>
      <c r="G21" s="286"/>
    </row>
    <row r="22" spans="1:7" ht="31.5">
      <c r="A22" s="20"/>
      <c r="B22" s="327"/>
      <c r="C22" s="310"/>
      <c r="D22" s="412" t="s">
        <v>1205</v>
      </c>
      <c r="E22" s="310">
        <v>0.1</v>
      </c>
      <c r="F22" s="323"/>
      <c r="G22" s="286"/>
    </row>
    <row r="23" spans="1:7">
      <c r="A23" s="20"/>
      <c r="B23" s="327"/>
      <c r="C23" s="310"/>
      <c r="D23" s="414" t="s">
        <v>1206</v>
      </c>
      <c r="E23" s="310">
        <v>0.25</v>
      </c>
      <c r="F23" s="323"/>
      <c r="G23" s="286">
        <f t="shared" si="0"/>
        <v>0</v>
      </c>
    </row>
    <row r="24" spans="1:7">
      <c r="A24" s="27"/>
      <c r="B24" s="28" t="s">
        <v>848</v>
      </c>
      <c r="C24" s="29">
        <v>0.09</v>
      </c>
      <c r="D24" s="41"/>
      <c r="E24" s="29">
        <f>SUM(E18:E23)</f>
        <v>1</v>
      </c>
      <c r="F24" s="27" t="s">
        <v>49</v>
      </c>
      <c r="G24" s="27">
        <f>SUM(G18:G23)*C24</f>
        <v>0</v>
      </c>
    </row>
    <row r="25" spans="1:7" ht="47.25">
      <c r="A25" s="20">
        <v>5</v>
      </c>
      <c r="B25" s="304" t="s">
        <v>1207</v>
      </c>
      <c r="C25" s="310"/>
      <c r="D25" s="412" t="s">
        <v>1208</v>
      </c>
      <c r="E25" s="310">
        <v>0.3</v>
      </c>
      <c r="F25" s="323"/>
      <c r="G25" s="286">
        <f t="shared" si="0"/>
        <v>0</v>
      </c>
    </row>
    <row r="26" spans="1:7" ht="47.25">
      <c r="A26" s="20"/>
      <c r="B26" s="304"/>
      <c r="C26" s="310"/>
      <c r="D26" s="415" t="s">
        <v>1209</v>
      </c>
      <c r="E26" s="310">
        <v>0.3</v>
      </c>
      <c r="F26" s="323"/>
      <c r="G26" s="286">
        <f t="shared" si="0"/>
        <v>0</v>
      </c>
    </row>
    <row r="27" spans="1:7">
      <c r="A27" s="20"/>
      <c r="B27" s="327"/>
      <c r="C27" s="310"/>
      <c r="D27" s="413" t="s">
        <v>1210</v>
      </c>
      <c r="E27" s="310">
        <v>0.4</v>
      </c>
      <c r="F27" s="323"/>
      <c r="G27" s="286">
        <f t="shared" si="0"/>
        <v>0</v>
      </c>
    </row>
    <row r="28" spans="1:7">
      <c r="A28" s="27"/>
      <c r="B28" s="28" t="s">
        <v>848</v>
      </c>
      <c r="C28" s="29">
        <v>0.09</v>
      </c>
      <c r="D28" s="41"/>
      <c r="E28" s="29">
        <f>SUM(E25:E27)</f>
        <v>1</v>
      </c>
      <c r="F28" s="27" t="s">
        <v>50</v>
      </c>
      <c r="G28" s="27">
        <f>SUM(G25:G27)*C28</f>
        <v>0</v>
      </c>
    </row>
    <row r="29" spans="1:7" ht="31.5">
      <c r="A29" s="20">
        <v>6</v>
      </c>
      <c r="B29" s="304" t="s">
        <v>1211</v>
      </c>
      <c r="C29" s="310"/>
      <c r="D29" s="411" t="s">
        <v>1212</v>
      </c>
      <c r="E29" s="310">
        <v>0.25</v>
      </c>
      <c r="F29" s="1"/>
      <c r="G29" s="286">
        <f t="shared" si="0"/>
        <v>0</v>
      </c>
    </row>
    <row r="30" spans="1:7">
      <c r="A30" s="20"/>
      <c r="B30" s="304"/>
      <c r="C30" s="310"/>
      <c r="D30" s="411" t="s">
        <v>1213</v>
      </c>
      <c r="E30" s="310">
        <v>0.25</v>
      </c>
      <c r="F30" s="1"/>
      <c r="G30" s="286">
        <f t="shared" si="0"/>
        <v>0</v>
      </c>
    </row>
    <row r="31" spans="1:7">
      <c r="A31" s="20"/>
      <c r="B31" s="304"/>
      <c r="C31" s="310"/>
      <c r="D31" s="411" t="s">
        <v>1214</v>
      </c>
      <c r="E31" s="310">
        <v>0.1</v>
      </c>
      <c r="F31" s="1"/>
      <c r="G31" s="286"/>
    </row>
    <row r="32" spans="1:7">
      <c r="A32" s="20"/>
      <c r="B32" s="327"/>
      <c r="C32" s="310"/>
      <c r="D32" s="411" t="s">
        <v>1215</v>
      </c>
      <c r="E32" s="310">
        <v>0.3</v>
      </c>
      <c r="F32" s="1"/>
      <c r="G32" s="286">
        <f t="shared" si="0"/>
        <v>0</v>
      </c>
    </row>
    <row r="33" spans="1:8" ht="16.5">
      <c r="A33" s="20"/>
      <c r="B33" s="327"/>
      <c r="C33" s="310"/>
      <c r="D33" s="416" t="s">
        <v>1216</v>
      </c>
      <c r="E33" s="310">
        <v>0.1</v>
      </c>
      <c r="F33" s="1"/>
      <c r="G33" s="286">
        <f t="shared" si="0"/>
        <v>0</v>
      </c>
    </row>
    <row r="34" spans="1:8">
      <c r="A34" s="27"/>
      <c r="B34" s="28" t="s">
        <v>848</v>
      </c>
      <c r="C34" s="29">
        <v>0.3</v>
      </c>
      <c r="D34" s="41"/>
      <c r="E34" s="29">
        <f>SUM(E29:E33)</f>
        <v>0.99999999999999989</v>
      </c>
      <c r="F34" s="27" t="s">
        <v>51</v>
      </c>
      <c r="G34" s="27">
        <f>SUM(G29:G33)*C34</f>
        <v>0</v>
      </c>
    </row>
    <row r="35" spans="1:8" ht="49.5">
      <c r="A35" s="20">
        <v>7</v>
      </c>
      <c r="B35" s="390" t="s">
        <v>1217</v>
      </c>
      <c r="C35" s="310"/>
      <c r="D35" s="411" t="s">
        <v>1218</v>
      </c>
      <c r="E35" s="310">
        <v>0.3</v>
      </c>
      <c r="F35" s="1"/>
      <c r="G35" s="286">
        <f t="shared" si="0"/>
        <v>0</v>
      </c>
    </row>
    <row r="36" spans="1:8" ht="31.5">
      <c r="A36" s="20"/>
      <c r="B36" s="304"/>
      <c r="C36" s="310"/>
      <c r="D36" s="411" t="s">
        <v>1219</v>
      </c>
      <c r="E36" s="310">
        <v>0.3</v>
      </c>
      <c r="F36" s="1"/>
      <c r="G36" s="286">
        <f t="shared" si="0"/>
        <v>0</v>
      </c>
    </row>
    <row r="37" spans="1:8" ht="31.5">
      <c r="A37" s="20"/>
      <c r="B37" s="304"/>
      <c r="C37" s="310"/>
      <c r="D37" s="411" t="s">
        <v>1220</v>
      </c>
      <c r="E37" s="310">
        <v>0.4</v>
      </c>
      <c r="F37" s="1"/>
      <c r="G37" s="286">
        <f t="shared" si="0"/>
        <v>0</v>
      </c>
    </row>
    <row r="38" spans="1:8">
      <c r="A38" s="27"/>
      <c r="B38" s="28" t="s">
        <v>848</v>
      </c>
      <c r="C38" s="29">
        <v>0.18</v>
      </c>
      <c r="D38" s="41"/>
      <c r="E38" s="29">
        <f>SUM(E35:E37)</f>
        <v>1</v>
      </c>
      <c r="F38" s="27" t="s">
        <v>52</v>
      </c>
      <c r="G38" s="27">
        <f>SUM(G35:G37)*C38</f>
        <v>0</v>
      </c>
      <c r="H38" s="332"/>
    </row>
    <row r="39" spans="1:8" ht="31.5">
      <c r="A39" s="20">
        <v>8</v>
      </c>
      <c r="B39" s="382" t="s">
        <v>1221</v>
      </c>
      <c r="C39" s="310"/>
      <c r="D39" s="417" t="s">
        <v>1222</v>
      </c>
      <c r="E39" s="310">
        <v>0.5</v>
      </c>
      <c r="F39" s="323"/>
      <c r="G39" s="286">
        <f t="shared" si="0"/>
        <v>0</v>
      </c>
      <c r="H39" s="332"/>
    </row>
    <row r="40" spans="1:8">
      <c r="A40" s="20"/>
      <c r="B40" s="304"/>
      <c r="C40" s="310"/>
      <c r="D40" s="413" t="s">
        <v>1223</v>
      </c>
      <c r="E40" s="310">
        <v>0.33</v>
      </c>
      <c r="F40" s="323"/>
      <c r="G40" s="286">
        <f t="shared" si="0"/>
        <v>0</v>
      </c>
      <c r="H40" s="332"/>
    </row>
    <row r="41" spans="1:8" ht="31.5">
      <c r="A41" s="20"/>
      <c r="B41" s="304"/>
      <c r="C41" s="310"/>
      <c r="D41" s="417" t="s">
        <v>1224</v>
      </c>
      <c r="E41" s="310">
        <v>0.17</v>
      </c>
      <c r="F41" s="323"/>
      <c r="G41" s="286">
        <f t="shared" si="0"/>
        <v>0</v>
      </c>
      <c r="H41" s="332"/>
    </row>
    <row r="42" spans="1:8">
      <c r="A42" s="20"/>
      <c r="B42" s="304"/>
      <c r="C42" s="310"/>
      <c r="D42" s="417" t="s">
        <v>1225</v>
      </c>
      <c r="E42" s="310">
        <v>0.3</v>
      </c>
      <c r="F42" s="323"/>
      <c r="G42" s="286">
        <f t="shared" si="0"/>
        <v>0</v>
      </c>
      <c r="H42" s="332"/>
    </row>
    <row r="43" spans="1:8">
      <c r="A43" s="27"/>
      <c r="B43" s="28" t="s">
        <v>848</v>
      </c>
      <c r="C43" s="29">
        <v>0.12</v>
      </c>
      <c r="D43" s="41"/>
      <c r="E43" s="29">
        <f>SUM(E39:E42)</f>
        <v>1.3</v>
      </c>
      <c r="F43" s="27" t="s">
        <v>53</v>
      </c>
      <c r="G43" s="27">
        <f>SUM(G39:G41)*C43</f>
        <v>0</v>
      </c>
      <c r="H43" s="332"/>
    </row>
    <row r="44" spans="1:8">
      <c r="A44" s="36"/>
      <c r="B44" s="37" t="s">
        <v>443</v>
      </c>
      <c r="C44" s="39">
        <f>SUBTOTAL(9,C7,C14,C17,C24,C28,C34,C38,C43)</f>
        <v>0.99999999999999989</v>
      </c>
      <c r="D44" s="180"/>
      <c r="E44" s="39">
        <v>10</v>
      </c>
      <c r="F44" s="38"/>
      <c r="G44" s="246">
        <f>SUBTOTAL(9,G7,G14,G17,G24,G28,G34,G38,G43)</f>
        <v>0</v>
      </c>
    </row>
    <row r="45" spans="1:8">
      <c r="A45" s="26"/>
      <c r="B45" s="26" t="s">
        <v>444</v>
      </c>
      <c r="C45" s="10"/>
      <c r="D45" s="9"/>
      <c r="E45" s="11"/>
      <c r="F45" s="3"/>
      <c r="G45" s="21" t="str">
        <f>IF(G44&lt;=0.5,"низький",IF(G44&lt;=0.75,"середній",(IF(G44&lt;=0.95,"достатній",(IF(G44&lt;=1,"високий"))))))</f>
        <v>низький</v>
      </c>
    </row>
    <row r="46" spans="1:8" s="302" customFormat="1">
      <c r="A46" s="288" t="s">
        <v>182</v>
      </c>
      <c r="B46" s="289"/>
      <c r="C46" s="342"/>
      <c r="E46" s="343"/>
      <c r="F46" s="344"/>
      <c r="G46" s="112"/>
    </row>
    <row r="47" spans="1:8" s="302" customFormat="1" ht="17.25">
      <c r="A47" s="345" t="s">
        <v>589</v>
      </c>
      <c r="B47" s="346"/>
      <c r="C47" s="347"/>
      <c r="D47" s="303"/>
      <c r="E47" s="348"/>
      <c r="F47" s="349"/>
      <c r="G47" s="112"/>
    </row>
    <row r="48" spans="1:8" s="302" customFormat="1" ht="17.25">
      <c r="A48" s="345" t="s">
        <v>590</v>
      </c>
      <c r="B48" s="346"/>
      <c r="C48" s="347"/>
      <c r="D48" s="303"/>
      <c r="E48" s="348"/>
      <c r="F48" s="349"/>
      <c r="G48" s="112"/>
    </row>
    <row r="49" spans="1:7" s="302" customFormat="1" ht="17.25">
      <c r="A49" s="345" t="s">
        <v>591</v>
      </c>
      <c r="B49" s="346"/>
      <c r="C49" s="347"/>
      <c r="D49" s="303"/>
      <c r="E49" s="348"/>
      <c r="F49" s="349"/>
      <c r="G49" s="112"/>
    </row>
    <row r="50" spans="1:7" s="302" customFormat="1" ht="17.25">
      <c r="A50" s="345" t="s">
        <v>592</v>
      </c>
      <c r="B50" s="346"/>
      <c r="C50" s="347"/>
      <c r="D50" s="303"/>
      <c r="E50" s="348"/>
      <c r="F50" s="349"/>
      <c r="G50" s="112"/>
    </row>
    <row r="51" spans="1:7" s="302" customFormat="1" ht="17.25">
      <c r="A51" s="345" t="s">
        <v>593</v>
      </c>
      <c r="B51" s="346"/>
      <c r="C51" s="347"/>
      <c r="D51" s="303"/>
      <c r="E51" s="348"/>
      <c r="F51" s="349"/>
      <c r="G51" s="112"/>
    </row>
    <row r="52" spans="1:7" s="302" customFormat="1" ht="17.25">
      <c r="A52" s="345" t="s">
        <v>594</v>
      </c>
      <c r="B52" s="346"/>
      <c r="C52" s="347"/>
      <c r="D52" s="303"/>
      <c r="E52" s="348"/>
      <c r="F52" s="349"/>
      <c r="G52" s="112"/>
    </row>
    <row r="53" spans="1:7" s="302" customFormat="1" ht="17.25">
      <c r="A53" s="345" t="s">
        <v>595</v>
      </c>
      <c r="B53" s="346"/>
      <c r="C53" s="347"/>
      <c r="D53" s="303"/>
      <c r="E53" s="348"/>
      <c r="F53" s="349"/>
      <c r="G53" s="112"/>
    </row>
    <row r="54" spans="1:7" s="302" customFormat="1">
      <c r="A54" s="350" t="s">
        <v>596</v>
      </c>
      <c r="B54" s="346"/>
      <c r="C54" s="347"/>
      <c r="D54" s="303"/>
      <c r="E54" s="348"/>
      <c r="F54" s="349"/>
      <c r="G54" s="112"/>
    </row>
    <row r="55" spans="1:7" s="302" customFormat="1">
      <c r="A55" s="345" t="s">
        <v>597</v>
      </c>
      <c r="B55" s="346"/>
      <c r="C55" s="347"/>
      <c r="D55" s="303"/>
      <c r="E55" s="348"/>
      <c r="F55" s="349"/>
      <c r="G55" s="112"/>
    </row>
    <row r="56" spans="1:7" s="302" customFormat="1">
      <c r="A56" s="288" t="s">
        <v>792</v>
      </c>
      <c r="B56" s="346"/>
      <c r="C56" s="347"/>
      <c r="D56" s="303"/>
      <c r="E56" s="348"/>
      <c r="F56" s="349"/>
      <c r="G56" s="112"/>
    </row>
    <row r="57" spans="1:7" s="302" customFormat="1">
      <c r="A57" s="288" t="s">
        <v>793</v>
      </c>
      <c r="B57" s="346"/>
      <c r="C57" s="347"/>
      <c r="D57" s="303"/>
      <c r="E57" s="348"/>
      <c r="F57" s="349"/>
      <c r="G57" s="112"/>
    </row>
    <row r="58" spans="1:7" s="302" customFormat="1">
      <c r="A58" s="288" t="s">
        <v>794</v>
      </c>
      <c r="B58" s="346"/>
      <c r="C58" s="347"/>
      <c r="D58" s="303"/>
      <c r="E58" s="348"/>
      <c r="F58" s="349"/>
      <c r="G58" s="112"/>
    </row>
    <row r="59" spans="1:7" s="302" customFormat="1">
      <c r="A59" s="342"/>
      <c r="B59" s="342" t="s">
        <v>20</v>
      </c>
      <c r="C59" s="342"/>
      <c r="D59" s="342"/>
      <c r="E59" s="342"/>
      <c r="F59" s="342"/>
      <c r="G59" s="342"/>
    </row>
    <row r="60" spans="1:7" s="302" customFormat="1">
      <c r="A60" s="351"/>
      <c r="B60" s="351"/>
      <c r="C60" s="351"/>
      <c r="D60" s="351"/>
      <c r="E60" s="351"/>
      <c r="F60" s="351"/>
      <c r="G60" s="351"/>
    </row>
    <row r="61" spans="1:7" s="302" customFormat="1">
      <c r="A61" s="351"/>
      <c r="B61" s="351"/>
      <c r="C61" s="351"/>
      <c r="D61" s="351"/>
      <c r="E61" s="351"/>
      <c r="F61" s="351"/>
      <c r="G61" s="351"/>
    </row>
    <row r="62" spans="1:7" s="302" customFormat="1">
      <c r="A62" s="351"/>
      <c r="B62" s="351"/>
      <c r="C62" s="351"/>
      <c r="D62" s="351"/>
      <c r="E62" s="351"/>
      <c r="F62" s="351"/>
      <c r="G62" s="351"/>
    </row>
    <row r="63" spans="1:7" s="302" customFormat="1">
      <c r="A63" s="351"/>
      <c r="B63" s="351"/>
      <c r="C63" s="351"/>
      <c r="D63" s="351"/>
      <c r="E63" s="351"/>
      <c r="F63" s="351"/>
      <c r="G63" s="351"/>
    </row>
    <row r="64" spans="1:7" s="302" customFormat="1">
      <c r="A64" s="351"/>
      <c r="B64" s="351"/>
      <c r="C64" s="351"/>
      <c r="D64" s="351"/>
      <c r="E64" s="351"/>
      <c r="F64" s="351"/>
      <c r="G64" s="351"/>
    </row>
    <row r="65" spans="1:7" s="302" customFormat="1">
      <c r="A65" s="351"/>
      <c r="B65" s="351"/>
      <c r="C65" s="351"/>
      <c r="D65" s="351"/>
      <c r="E65" s="351"/>
      <c r="F65" s="351"/>
      <c r="G65" s="351"/>
    </row>
    <row r="66" spans="1:7" s="302" customFormat="1">
      <c r="A66" s="351"/>
      <c r="B66" s="351"/>
      <c r="C66" s="351"/>
      <c r="D66" s="351"/>
      <c r="E66" s="351"/>
      <c r="F66" s="351"/>
      <c r="G66" s="351"/>
    </row>
    <row r="67" spans="1:7" s="302" customFormat="1">
      <c r="A67" s="351"/>
      <c r="B67" s="351"/>
      <c r="C67" s="351"/>
      <c r="D67" s="351"/>
      <c r="E67" s="351"/>
      <c r="F67" s="351"/>
      <c r="G67" s="351"/>
    </row>
    <row r="68" spans="1:7" s="302" customFormat="1">
      <c r="A68" s="351"/>
      <c r="B68" s="351"/>
      <c r="C68" s="351"/>
      <c r="D68" s="351"/>
      <c r="E68" s="351"/>
      <c r="F68" s="351"/>
      <c r="G68" s="351"/>
    </row>
    <row r="69" spans="1:7" s="302" customFormat="1">
      <c r="A69" s="351"/>
      <c r="B69" s="351"/>
      <c r="C69" s="351"/>
      <c r="D69" s="351"/>
      <c r="E69" s="351"/>
      <c r="F69" s="351"/>
      <c r="G69" s="351"/>
    </row>
    <row r="70" spans="1:7" s="302" customFormat="1">
      <c r="A70" s="351"/>
      <c r="B70" s="351"/>
      <c r="C70" s="351"/>
      <c r="D70" s="351"/>
      <c r="E70" s="351"/>
      <c r="F70" s="351"/>
      <c r="G70" s="351"/>
    </row>
    <row r="71" spans="1:7" s="302" customFormat="1">
      <c r="A71" s="351"/>
      <c r="B71" s="351"/>
      <c r="C71" s="351"/>
      <c r="D71" s="351"/>
      <c r="E71" s="351"/>
      <c r="F71" s="351"/>
      <c r="G71" s="351"/>
    </row>
    <row r="72" spans="1:7" s="302" customFormat="1">
      <c r="A72" s="351"/>
      <c r="B72" s="351"/>
      <c r="C72" s="351"/>
      <c r="D72" s="351"/>
      <c r="E72" s="351"/>
      <c r="F72" s="351"/>
      <c r="G72" s="351"/>
    </row>
    <row r="73" spans="1:7" s="302" customFormat="1">
      <c r="A73" s="351"/>
      <c r="B73" s="351"/>
      <c r="C73" s="351"/>
      <c r="D73" s="351"/>
      <c r="E73" s="351"/>
      <c r="F73" s="351"/>
      <c r="G73" s="351"/>
    </row>
    <row r="74" spans="1:7" s="302" customFormat="1">
      <c r="A74" s="342"/>
      <c r="B74" s="352" t="s">
        <v>2418</v>
      </c>
      <c r="C74" s="352"/>
      <c r="D74" s="352"/>
      <c r="E74" s="352"/>
      <c r="F74" s="352"/>
      <c r="G74" s="352"/>
    </row>
    <row r="75" spans="1:7" s="302" customFormat="1">
      <c r="A75" s="342"/>
      <c r="B75" s="353"/>
      <c r="C75" s="353"/>
      <c r="D75" s="353"/>
      <c r="E75" s="353"/>
      <c r="F75" s="353"/>
      <c r="G75" s="353"/>
    </row>
    <row r="76" spans="1:7" s="302" customFormat="1">
      <c r="A76" s="342"/>
      <c r="B76" s="352" t="s">
        <v>22</v>
      </c>
      <c r="C76" s="352"/>
      <c r="D76" s="352"/>
      <c r="E76" s="352"/>
      <c r="F76" s="352"/>
      <c r="G76" s="352"/>
    </row>
    <row r="77" spans="1:7" s="302" customFormat="1">
      <c r="A77" s="342"/>
      <c r="B77" s="353"/>
      <c r="C77" s="353"/>
      <c r="D77" s="353"/>
      <c r="E77" s="353"/>
      <c r="F77" s="353"/>
      <c r="G77" s="353"/>
    </row>
    <row r="78" spans="1:7" s="302" customFormat="1">
      <c r="A78" s="342"/>
      <c r="B78" s="352" t="s">
        <v>23</v>
      </c>
      <c r="C78" s="352"/>
      <c r="D78" s="352"/>
      <c r="E78" s="352"/>
      <c r="F78" s="352"/>
      <c r="G78" s="352"/>
    </row>
    <row r="79" spans="1:7" s="302" customFormat="1">
      <c r="A79" s="342"/>
      <c r="B79" s="352" t="s">
        <v>24</v>
      </c>
      <c r="C79" s="352"/>
      <c r="D79" s="352"/>
      <c r="E79" s="352"/>
      <c r="F79" s="352"/>
      <c r="G79" s="352"/>
    </row>
    <row r="80" spans="1:7" s="303" customFormat="1">
      <c r="A80" s="346"/>
      <c r="B80" s="346"/>
      <c r="E80" s="333"/>
    </row>
    <row r="81" spans="1:5" s="101" customFormat="1">
      <c r="A81" s="290"/>
      <c r="B81" s="289"/>
      <c r="C81" s="63"/>
      <c r="E81" s="63"/>
    </row>
    <row r="82" spans="1:5" s="101" customFormat="1">
      <c r="A82" s="290"/>
      <c r="B82" s="289"/>
      <c r="C82" s="63"/>
      <c r="E82" s="63"/>
    </row>
    <row r="83" spans="1:5" s="101" customFormat="1">
      <c r="A83" s="290"/>
      <c r="B83" s="289"/>
      <c r="C83" s="63"/>
      <c r="E83" s="63"/>
    </row>
  </sheetData>
  <mergeCells count="2">
    <mergeCell ref="A1:G1"/>
    <mergeCell ref="A2:G2"/>
  </mergeCells>
  <phoneticPr fontId="4" type="noConversion"/>
  <pageMargins left="0.7" right="0.7" top="0.75" bottom="0.75" header="0.3" footer="0.3"/>
  <pageSetup paperSize="9" scale="67" orientation="portrait" r:id="rId1"/>
</worksheet>
</file>

<file path=xl/worksheets/sheet64.xml><?xml version="1.0" encoding="utf-8"?>
<worksheet xmlns="http://schemas.openxmlformats.org/spreadsheetml/2006/main" xmlns:r="http://schemas.openxmlformats.org/officeDocument/2006/relationships">
  <dimension ref="A1:H99"/>
  <sheetViews>
    <sheetView topLeftCell="A40" workbookViewId="0">
      <selection activeCell="F59" sqref="F59"/>
    </sheetView>
  </sheetViews>
  <sheetFormatPr defaultRowHeight="15"/>
  <cols>
    <col min="1" max="1" width="4.140625" style="735" customWidth="1"/>
    <col min="2" max="2" width="17.140625" style="379" customWidth="1"/>
    <col min="3" max="3" width="6.42578125" customWidth="1"/>
    <col min="4" max="4" width="44.140625" customWidth="1"/>
    <col min="5" max="5" width="9.28515625" customWidth="1"/>
    <col min="6" max="6" width="10.42578125" style="735" customWidth="1"/>
    <col min="7" max="7" width="10.28515625" style="734" customWidth="1"/>
    <col min="8" max="8" width="10.42578125" style="734" customWidth="1"/>
  </cols>
  <sheetData>
    <row r="1" spans="1:8" ht="76.5" customHeight="1">
      <c r="A1" s="1203" t="s">
        <v>1512</v>
      </c>
      <c r="B1" s="1204"/>
      <c r="C1" s="1204"/>
      <c r="D1" s="1204"/>
      <c r="E1" s="1204"/>
      <c r="F1" s="1204"/>
      <c r="G1" s="1204"/>
      <c r="H1" s="1205"/>
    </row>
    <row r="2" spans="1:8" s="729" customFormat="1" ht="46.5" customHeight="1">
      <c r="A2" s="693"/>
      <c r="B2" s="726" t="s">
        <v>1612</v>
      </c>
      <c r="C2" s="701" t="s">
        <v>1445</v>
      </c>
      <c r="D2" s="726" t="s">
        <v>1613</v>
      </c>
      <c r="E2" s="726" t="s">
        <v>1445</v>
      </c>
      <c r="F2" s="727" t="s">
        <v>1614</v>
      </c>
      <c r="G2" s="728" t="s">
        <v>1615</v>
      </c>
      <c r="H2" s="728" t="s">
        <v>1616</v>
      </c>
    </row>
    <row r="3" spans="1:8" ht="35.25" customHeight="1">
      <c r="A3" s="1191" t="s">
        <v>634</v>
      </c>
      <c r="B3" s="1199" t="s">
        <v>1513</v>
      </c>
      <c r="C3" s="1191">
        <v>0.09</v>
      </c>
      <c r="D3" s="2" t="s">
        <v>1514</v>
      </c>
      <c r="E3" s="730">
        <v>0.17</v>
      </c>
      <c r="F3" s="731">
        <v>1</v>
      </c>
      <c r="G3" s="732">
        <f t="shared" ref="G3:G62" si="0">E3*F3</f>
        <v>0.17</v>
      </c>
      <c r="H3" s="1572">
        <f>(G3+G4+G5+G6+G7+G8+G9+G10)/11</f>
        <v>9.0909090909090912E-2</v>
      </c>
    </row>
    <row r="4" spans="1:8" ht="49.5" customHeight="1">
      <c r="A4" s="1191"/>
      <c r="B4" s="1199"/>
      <c r="C4" s="1191"/>
      <c r="D4" s="2" t="s">
        <v>1515</v>
      </c>
      <c r="E4" s="730">
        <v>0.09</v>
      </c>
      <c r="F4" s="731">
        <v>1</v>
      </c>
      <c r="G4" s="732">
        <f t="shared" si="0"/>
        <v>0.09</v>
      </c>
      <c r="H4" s="1572"/>
    </row>
    <row r="5" spans="1:8" ht="50.25" customHeight="1">
      <c r="A5" s="1191"/>
      <c r="B5" s="1199"/>
      <c r="C5" s="1191"/>
      <c r="D5" s="2" t="s">
        <v>1516</v>
      </c>
      <c r="E5" s="730">
        <v>0.11</v>
      </c>
      <c r="F5" s="731">
        <v>1</v>
      </c>
      <c r="G5" s="732">
        <f t="shared" si="0"/>
        <v>0.11</v>
      </c>
      <c r="H5" s="1572"/>
    </row>
    <row r="6" spans="1:8" ht="33" customHeight="1">
      <c r="A6" s="1191"/>
      <c r="B6" s="1199"/>
      <c r="C6" s="1191"/>
      <c r="D6" s="2" t="s">
        <v>1517</v>
      </c>
      <c r="E6" s="730">
        <v>0.12</v>
      </c>
      <c r="F6" s="731">
        <v>1</v>
      </c>
      <c r="G6" s="732">
        <f t="shared" si="0"/>
        <v>0.12</v>
      </c>
      <c r="H6" s="1572"/>
    </row>
    <row r="7" spans="1:8" ht="33.75" customHeight="1">
      <c r="A7" s="1191"/>
      <c r="B7" s="1199"/>
      <c r="C7" s="1191"/>
      <c r="D7" s="2" t="s">
        <v>1518</v>
      </c>
      <c r="E7" s="730">
        <v>0.16</v>
      </c>
      <c r="F7" s="731">
        <v>1</v>
      </c>
      <c r="G7" s="732">
        <f t="shared" si="0"/>
        <v>0.16</v>
      </c>
      <c r="H7" s="1572"/>
    </row>
    <row r="8" spans="1:8" ht="36" customHeight="1">
      <c r="A8" s="1191"/>
      <c r="B8" s="1199"/>
      <c r="C8" s="1191"/>
      <c r="D8" s="2" t="s">
        <v>1519</v>
      </c>
      <c r="E8" s="730">
        <v>0.1</v>
      </c>
      <c r="F8" s="731">
        <v>1</v>
      </c>
      <c r="G8" s="732">
        <f t="shared" si="0"/>
        <v>0.1</v>
      </c>
      <c r="H8" s="1572"/>
    </row>
    <row r="9" spans="1:8" ht="33" customHeight="1">
      <c r="A9" s="1191"/>
      <c r="B9" s="1199"/>
      <c r="C9" s="1191"/>
      <c r="D9" s="2" t="s">
        <v>1520</v>
      </c>
      <c r="E9" s="730">
        <v>0.13</v>
      </c>
      <c r="F9" s="731">
        <v>1</v>
      </c>
      <c r="G9" s="732">
        <f t="shared" si="0"/>
        <v>0.13</v>
      </c>
      <c r="H9" s="1572"/>
    </row>
    <row r="10" spans="1:8" ht="39" customHeight="1">
      <c r="A10" s="1191"/>
      <c r="B10" s="1199"/>
      <c r="C10" s="1191"/>
      <c r="D10" s="2" t="s">
        <v>1521</v>
      </c>
      <c r="E10" s="730">
        <v>0.12</v>
      </c>
      <c r="F10" s="731">
        <v>1</v>
      </c>
      <c r="G10" s="732">
        <f t="shared" si="0"/>
        <v>0.12</v>
      </c>
      <c r="H10" s="1572"/>
    </row>
    <row r="11" spans="1:8" ht="51" customHeight="1">
      <c r="A11" s="1191" t="s">
        <v>637</v>
      </c>
      <c r="B11" s="1199" t="s">
        <v>1522</v>
      </c>
      <c r="C11" s="1191">
        <v>0.08</v>
      </c>
      <c r="D11" s="2" t="s">
        <v>1523</v>
      </c>
      <c r="E11" s="730">
        <v>0.15</v>
      </c>
      <c r="F11" s="731">
        <v>1</v>
      </c>
      <c r="G11" s="732">
        <f>F11*E11</f>
        <v>0.15</v>
      </c>
      <c r="H11" s="1572">
        <f>(G11+G12+G13+G14+G15)/12.5</f>
        <v>0.08</v>
      </c>
    </row>
    <row r="12" spans="1:8" ht="96.75" customHeight="1">
      <c r="A12" s="1191"/>
      <c r="B12" s="1199"/>
      <c r="C12" s="1191"/>
      <c r="D12" s="2" t="s">
        <v>1524</v>
      </c>
      <c r="E12" s="730">
        <v>0.2</v>
      </c>
      <c r="F12" s="731">
        <v>1</v>
      </c>
      <c r="G12" s="732">
        <f t="shared" si="0"/>
        <v>0.2</v>
      </c>
      <c r="H12" s="1572"/>
    </row>
    <row r="13" spans="1:8" ht="50.25" customHeight="1">
      <c r="A13" s="1191"/>
      <c r="B13" s="1199"/>
      <c r="C13" s="1191"/>
      <c r="D13" s="2" t="s">
        <v>1525</v>
      </c>
      <c r="E13" s="730">
        <v>0.15</v>
      </c>
      <c r="F13" s="731">
        <v>1</v>
      </c>
      <c r="G13" s="732">
        <f t="shared" si="0"/>
        <v>0.15</v>
      </c>
      <c r="H13" s="1572"/>
    </row>
    <row r="14" spans="1:8" ht="33" customHeight="1">
      <c r="A14" s="1191"/>
      <c r="B14" s="1199"/>
      <c r="C14" s="1191"/>
      <c r="D14" s="2" t="s">
        <v>1526</v>
      </c>
      <c r="E14" s="730">
        <v>0.3</v>
      </c>
      <c r="F14" s="731">
        <v>1</v>
      </c>
      <c r="G14" s="732">
        <f t="shared" si="0"/>
        <v>0.3</v>
      </c>
      <c r="H14" s="1572"/>
    </row>
    <row r="15" spans="1:8" ht="34.5" customHeight="1">
      <c r="A15" s="1191"/>
      <c r="B15" s="1199"/>
      <c r="C15" s="1191"/>
      <c r="D15" s="2" t="s">
        <v>1527</v>
      </c>
      <c r="E15" s="730">
        <v>0.2</v>
      </c>
      <c r="F15" s="731">
        <v>1</v>
      </c>
      <c r="G15" s="732">
        <f t="shared" si="0"/>
        <v>0.2</v>
      </c>
      <c r="H15" s="1572"/>
    </row>
    <row r="16" spans="1:8" ht="34.5" customHeight="1">
      <c r="A16" s="1191" t="s">
        <v>147</v>
      </c>
      <c r="B16" s="1199" t="s">
        <v>1528</v>
      </c>
      <c r="C16" s="1191">
        <v>0.05</v>
      </c>
      <c r="D16" s="2" t="s">
        <v>1529</v>
      </c>
      <c r="E16" s="730">
        <v>0.22</v>
      </c>
      <c r="F16" s="731">
        <v>1</v>
      </c>
      <c r="G16" s="732">
        <f t="shared" si="0"/>
        <v>0.22</v>
      </c>
      <c r="H16" s="1572">
        <f>(G16+G17+G18+G19+G20)/20</f>
        <v>0.05</v>
      </c>
    </row>
    <row r="17" spans="1:8" ht="24" customHeight="1">
      <c r="A17" s="1191"/>
      <c r="B17" s="1199"/>
      <c r="C17" s="1191"/>
      <c r="D17" s="2" t="s">
        <v>1530</v>
      </c>
      <c r="E17" s="730">
        <v>0.18</v>
      </c>
      <c r="F17" s="731">
        <v>1</v>
      </c>
      <c r="G17" s="732">
        <f t="shared" si="0"/>
        <v>0.18</v>
      </c>
      <c r="H17" s="1572"/>
    </row>
    <row r="18" spans="1:8" ht="33.75" customHeight="1">
      <c r="A18" s="1191"/>
      <c r="B18" s="1199"/>
      <c r="C18" s="1191"/>
      <c r="D18" s="2" t="s">
        <v>1531</v>
      </c>
      <c r="E18" s="730">
        <v>0.15</v>
      </c>
      <c r="F18" s="731">
        <v>1</v>
      </c>
      <c r="G18" s="732">
        <f t="shared" si="0"/>
        <v>0.15</v>
      </c>
      <c r="H18" s="1572"/>
    </row>
    <row r="19" spans="1:8" ht="48.75" customHeight="1">
      <c r="A19" s="1191"/>
      <c r="B19" s="1199"/>
      <c r="C19" s="1191"/>
      <c r="D19" s="2" t="s">
        <v>1532</v>
      </c>
      <c r="E19" s="730">
        <v>0.25</v>
      </c>
      <c r="F19" s="731">
        <v>1</v>
      </c>
      <c r="G19" s="732">
        <f t="shared" si="0"/>
        <v>0.25</v>
      </c>
      <c r="H19" s="1572"/>
    </row>
    <row r="20" spans="1:8" ht="50.25" customHeight="1">
      <c r="A20" s="1191"/>
      <c r="B20" s="1199"/>
      <c r="C20" s="1191"/>
      <c r="D20" s="2" t="s">
        <v>1533</v>
      </c>
      <c r="E20" s="730">
        <v>0.2</v>
      </c>
      <c r="F20" s="731">
        <v>1</v>
      </c>
      <c r="G20" s="732">
        <f t="shared" si="0"/>
        <v>0.2</v>
      </c>
      <c r="H20" s="1572"/>
    </row>
    <row r="21" spans="1:8" ht="36" customHeight="1">
      <c r="A21" s="1191" t="s">
        <v>1760</v>
      </c>
      <c r="B21" s="1199" t="s">
        <v>1534</v>
      </c>
      <c r="C21" s="1191">
        <v>0.11</v>
      </c>
      <c r="D21" s="2" t="s">
        <v>1535</v>
      </c>
      <c r="E21" s="730">
        <v>0.18</v>
      </c>
      <c r="F21" s="731">
        <v>1</v>
      </c>
      <c r="G21" s="732">
        <f t="shared" si="0"/>
        <v>0.18</v>
      </c>
      <c r="H21" s="1572">
        <f>(G21+G22+G23+G24+G25+G26)/9.09</f>
        <v>0.11001100110011</v>
      </c>
    </row>
    <row r="22" spans="1:8" ht="36.75" customHeight="1">
      <c r="A22" s="1191"/>
      <c r="B22" s="1199"/>
      <c r="C22" s="1191"/>
      <c r="D22" s="2" t="s">
        <v>1536</v>
      </c>
      <c r="E22" s="730">
        <v>0.15</v>
      </c>
      <c r="F22" s="731">
        <v>1</v>
      </c>
      <c r="G22" s="732">
        <f t="shared" si="0"/>
        <v>0.15</v>
      </c>
      <c r="H22" s="1572"/>
    </row>
    <row r="23" spans="1:8" ht="64.5" customHeight="1">
      <c r="A23" s="1191"/>
      <c r="B23" s="1199"/>
      <c r="C23" s="1191"/>
      <c r="D23" s="2" t="s">
        <v>1537</v>
      </c>
      <c r="E23" s="730">
        <v>0.13</v>
      </c>
      <c r="F23" s="731">
        <v>1</v>
      </c>
      <c r="G23" s="732">
        <f t="shared" si="0"/>
        <v>0.13</v>
      </c>
      <c r="H23" s="1572"/>
    </row>
    <row r="24" spans="1:8" ht="35.25" customHeight="1">
      <c r="A24" s="1191"/>
      <c r="B24" s="1199"/>
      <c r="C24" s="1191"/>
      <c r="D24" s="2" t="s">
        <v>1538</v>
      </c>
      <c r="E24" s="730">
        <v>0.2</v>
      </c>
      <c r="F24" s="731">
        <v>1</v>
      </c>
      <c r="G24" s="732">
        <f t="shared" si="0"/>
        <v>0.2</v>
      </c>
      <c r="H24" s="1572"/>
    </row>
    <row r="25" spans="1:8" ht="37.5" customHeight="1">
      <c r="A25" s="1191"/>
      <c r="B25" s="1199"/>
      <c r="C25" s="1191"/>
      <c r="D25" s="2" t="s">
        <v>1539</v>
      </c>
      <c r="E25" s="730">
        <v>0.12</v>
      </c>
      <c r="F25" s="731">
        <v>1</v>
      </c>
      <c r="G25" s="732">
        <f t="shared" si="0"/>
        <v>0.12</v>
      </c>
      <c r="H25" s="1572"/>
    </row>
    <row r="26" spans="1:8" ht="54" customHeight="1">
      <c r="A26" s="1191"/>
      <c r="B26" s="1199"/>
      <c r="C26" s="1191"/>
      <c r="D26" s="2" t="s">
        <v>1540</v>
      </c>
      <c r="E26" s="730">
        <v>0.22</v>
      </c>
      <c r="F26" s="731">
        <v>1</v>
      </c>
      <c r="G26" s="732">
        <f t="shared" si="0"/>
        <v>0.22</v>
      </c>
      <c r="H26" s="1572"/>
    </row>
    <row r="27" spans="1:8" ht="33" customHeight="1">
      <c r="A27" s="1191" t="s">
        <v>164</v>
      </c>
      <c r="B27" s="1199" t="s">
        <v>1875</v>
      </c>
      <c r="C27" s="1191">
        <v>0.13</v>
      </c>
      <c r="D27" s="2" t="s">
        <v>1876</v>
      </c>
      <c r="E27" s="730">
        <v>0.09</v>
      </c>
      <c r="F27" s="731">
        <v>1</v>
      </c>
      <c r="G27" s="732">
        <f t="shared" si="0"/>
        <v>0.09</v>
      </c>
      <c r="H27" s="1572">
        <f>(G27+G28+G29+G30+G31+G32+G33+G34+G35)/7.7</f>
        <v>0.12987012987012989</v>
      </c>
    </row>
    <row r="28" spans="1:8" ht="33" customHeight="1">
      <c r="A28" s="1191"/>
      <c r="B28" s="1199"/>
      <c r="C28" s="1191"/>
      <c r="D28" s="2" t="s">
        <v>1877</v>
      </c>
      <c r="E28" s="730">
        <v>0.1</v>
      </c>
      <c r="F28" s="731">
        <v>1</v>
      </c>
      <c r="G28" s="732">
        <f t="shared" si="0"/>
        <v>0.1</v>
      </c>
      <c r="H28" s="1572"/>
    </row>
    <row r="29" spans="1:8" ht="48" customHeight="1">
      <c r="A29" s="1191"/>
      <c r="B29" s="1199"/>
      <c r="C29" s="1191"/>
      <c r="D29" s="2" t="s">
        <v>1878</v>
      </c>
      <c r="E29" s="730">
        <v>0.2</v>
      </c>
      <c r="F29" s="731">
        <v>1</v>
      </c>
      <c r="G29" s="732">
        <f t="shared" si="0"/>
        <v>0.2</v>
      </c>
      <c r="H29" s="1572"/>
    </row>
    <row r="30" spans="1:8" ht="35.25" customHeight="1">
      <c r="A30" s="1191"/>
      <c r="B30" s="1199"/>
      <c r="C30" s="1191"/>
      <c r="D30" s="2" t="s">
        <v>1879</v>
      </c>
      <c r="E30" s="730">
        <v>0.08</v>
      </c>
      <c r="F30" s="731">
        <v>1</v>
      </c>
      <c r="G30" s="732">
        <f t="shared" si="0"/>
        <v>0.08</v>
      </c>
      <c r="H30" s="1572"/>
    </row>
    <row r="31" spans="1:8" ht="33" customHeight="1">
      <c r="A31" s="1191"/>
      <c r="B31" s="1199"/>
      <c r="C31" s="1191"/>
      <c r="D31" s="2" t="s">
        <v>1880</v>
      </c>
      <c r="E31" s="730">
        <v>0.11</v>
      </c>
      <c r="F31" s="731">
        <v>1</v>
      </c>
      <c r="G31" s="732">
        <f t="shared" si="0"/>
        <v>0.11</v>
      </c>
      <c r="H31" s="1572"/>
    </row>
    <row r="32" spans="1:8" ht="50.25" customHeight="1">
      <c r="A32" s="1191"/>
      <c r="B32" s="1199"/>
      <c r="C32" s="1191"/>
      <c r="D32" s="2" t="s">
        <v>1541</v>
      </c>
      <c r="E32" s="730">
        <v>0.17</v>
      </c>
      <c r="F32" s="731">
        <v>1</v>
      </c>
      <c r="G32" s="732">
        <f t="shared" si="0"/>
        <v>0.17</v>
      </c>
      <c r="H32" s="1572"/>
    </row>
    <row r="33" spans="1:8" ht="35.25" customHeight="1">
      <c r="A33" s="1191"/>
      <c r="B33" s="1199"/>
      <c r="C33" s="1191"/>
      <c r="D33" s="2" t="s">
        <v>1882</v>
      </c>
      <c r="E33" s="730">
        <v>0.05</v>
      </c>
      <c r="F33" s="731">
        <v>1</v>
      </c>
      <c r="G33" s="732">
        <f t="shared" si="0"/>
        <v>0.05</v>
      </c>
      <c r="H33" s="1572"/>
    </row>
    <row r="34" spans="1:8" ht="48.75" customHeight="1">
      <c r="A34" s="1191"/>
      <c r="B34" s="1199"/>
      <c r="C34" s="1191"/>
      <c r="D34" s="2" t="s">
        <v>1883</v>
      </c>
      <c r="E34" s="730">
        <v>0.12</v>
      </c>
      <c r="F34" s="731">
        <v>1</v>
      </c>
      <c r="G34" s="732">
        <f t="shared" si="0"/>
        <v>0.12</v>
      </c>
      <c r="H34" s="1572"/>
    </row>
    <row r="35" spans="1:8" ht="48" customHeight="1">
      <c r="A35" s="1191"/>
      <c r="B35" s="1199"/>
      <c r="C35" s="1191"/>
      <c r="D35" s="2" t="s">
        <v>1884</v>
      </c>
      <c r="E35" s="730">
        <v>0.08</v>
      </c>
      <c r="F35" s="731">
        <v>1</v>
      </c>
      <c r="G35" s="732">
        <f t="shared" si="0"/>
        <v>0.08</v>
      </c>
      <c r="H35" s="1572"/>
    </row>
    <row r="36" spans="1:8" ht="54" customHeight="1">
      <c r="A36" s="1191" t="s">
        <v>169</v>
      </c>
      <c r="B36" s="1199" t="s">
        <v>1849</v>
      </c>
      <c r="C36" s="1191">
        <v>0.06</v>
      </c>
      <c r="D36" s="2" t="s">
        <v>1542</v>
      </c>
      <c r="E36" s="730">
        <v>0.3</v>
      </c>
      <c r="F36" s="731">
        <v>1</v>
      </c>
      <c r="G36" s="732">
        <f t="shared" si="0"/>
        <v>0.3</v>
      </c>
      <c r="H36" s="1572">
        <f>(G36+G37)/16.6</f>
        <v>6.0240963855421679E-2</v>
      </c>
    </row>
    <row r="37" spans="1:8" ht="58.5" customHeight="1">
      <c r="A37" s="1191"/>
      <c r="B37" s="1199"/>
      <c r="C37" s="1191"/>
      <c r="D37" s="2" t="s">
        <v>1543</v>
      </c>
      <c r="E37" s="730">
        <v>0.7</v>
      </c>
      <c r="F37" s="731">
        <v>1</v>
      </c>
      <c r="G37" s="732">
        <f t="shared" si="0"/>
        <v>0.7</v>
      </c>
      <c r="H37" s="1572"/>
    </row>
    <row r="38" spans="1:8" ht="63" customHeight="1">
      <c r="A38" s="1192" t="s">
        <v>1762</v>
      </c>
      <c r="B38" s="1199" t="s">
        <v>1544</v>
      </c>
      <c r="C38" s="1192">
        <v>0.12</v>
      </c>
      <c r="D38" s="2" t="s">
        <v>1545</v>
      </c>
      <c r="E38" s="730">
        <v>0.4</v>
      </c>
      <c r="F38" s="731">
        <v>1</v>
      </c>
      <c r="G38" s="732">
        <f t="shared" si="0"/>
        <v>0.4</v>
      </c>
      <c r="H38" s="1572">
        <f>(G38+G39+G40+G41)/8.3</f>
        <v>0.12048192771084339</v>
      </c>
    </row>
    <row r="39" spans="1:8" ht="67.5" customHeight="1">
      <c r="A39" s="1193"/>
      <c r="B39" s="1199"/>
      <c r="C39" s="1193"/>
      <c r="D39" s="2" t="s">
        <v>1546</v>
      </c>
      <c r="E39" s="730">
        <v>0.2</v>
      </c>
      <c r="F39" s="731">
        <v>1</v>
      </c>
      <c r="G39" s="732">
        <f t="shared" si="0"/>
        <v>0.2</v>
      </c>
      <c r="H39" s="1572"/>
    </row>
    <row r="40" spans="1:8" ht="52.5" customHeight="1">
      <c r="A40" s="1193"/>
      <c r="B40" s="1199"/>
      <c r="C40" s="1193"/>
      <c r="D40" s="2" t="s">
        <v>1547</v>
      </c>
      <c r="E40" s="730">
        <v>0.3</v>
      </c>
      <c r="F40" s="731">
        <v>1</v>
      </c>
      <c r="G40" s="732">
        <f t="shared" si="0"/>
        <v>0.3</v>
      </c>
      <c r="H40" s="1572"/>
    </row>
    <row r="41" spans="1:8" ht="47.25" customHeight="1">
      <c r="A41" s="1194"/>
      <c r="B41" s="1199"/>
      <c r="C41" s="1194"/>
      <c r="D41" s="2" t="s">
        <v>1548</v>
      </c>
      <c r="E41" s="730">
        <v>0.1</v>
      </c>
      <c r="F41" s="731">
        <v>1</v>
      </c>
      <c r="G41" s="732">
        <f t="shared" si="0"/>
        <v>0.1</v>
      </c>
      <c r="H41" s="1572"/>
    </row>
    <row r="42" spans="1:8" ht="63">
      <c r="A42" s="1191" t="s">
        <v>1549</v>
      </c>
      <c r="B42" s="1199" t="s">
        <v>1550</v>
      </c>
      <c r="C42" s="1191">
        <v>0.04</v>
      </c>
      <c r="D42" s="2" t="s">
        <v>1551</v>
      </c>
      <c r="E42" s="730">
        <v>0.4</v>
      </c>
      <c r="F42" s="731">
        <v>1</v>
      </c>
      <c r="G42" s="732">
        <f t="shared" si="0"/>
        <v>0.4</v>
      </c>
      <c r="H42" s="1572">
        <f>(G42+G43+G44)/25</f>
        <v>0.04</v>
      </c>
    </row>
    <row r="43" spans="1:8" ht="34.5" customHeight="1">
      <c r="A43" s="1191"/>
      <c r="B43" s="1199"/>
      <c r="C43" s="1191"/>
      <c r="D43" s="2" t="s">
        <v>1552</v>
      </c>
      <c r="E43" s="730">
        <v>0.3</v>
      </c>
      <c r="F43" s="731">
        <v>1</v>
      </c>
      <c r="G43" s="732">
        <f t="shared" si="0"/>
        <v>0.3</v>
      </c>
      <c r="H43" s="1572"/>
    </row>
    <row r="44" spans="1:8" ht="63" customHeight="1">
      <c r="A44" s="1191"/>
      <c r="B44" s="1199"/>
      <c r="C44" s="1191"/>
      <c r="D44" s="2" t="s">
        <v>1553</v>
      </c>
      <c r="E44" s="730">
        <v>0.3</v>
      </c>
      <c r="F44" s="731">
        <v>1</v>
      </c>
      <c r="G44" s="732">
        <f t="shared" si="0"/>
        <v>0.3</v>
      </c>
      <c r="H44" s="1572"/>
    </row>
    <row r="45" spans="1:8" ht="66" customHeight="1">
      <c r="A45" s="1191" t="s">
        <v>1554</v>
      </c>
      <c r="B45" s="1199" t="s">
        <v>1508</v>
      </c>
      <c r="C45" s="1191">
        <v>0.1</v>
      </c>
      <c r="D45" s="2" t="s">
        <v>1555</v>
      </c>
      <c r="E45" s="730">
        <v>0.15</v>
      </c>
      <c r="F45" s="731">
        <v>1</v>
      </c>
      <c r="G45" s="732">
        <f t="shared" si="0"/>
        <v>0.15</v>
      </c>
      <c r="H45" s="1571">
        <f>(G45+G46+G47+G48+G49+G50+G51+G52)/10</f>
        <v>0.10000000000000002</v>
      </c>
    </row>
    <row r="46" spans="1:8" ht="48.75" customHeight="1">
      <c r="A46" s="1191"/>
      <c r="B46" s="1199"/>
      <c r="C46" s="1191"/>
      <c r="D46" s="2" t="s">
        <v>1556</v>
      </c>
      <c r="E46" s="730">
        <v>0.12</v>
      </c>
      <c r="F46" s="731">
        <v>1</v>
      </c>
      <c r="G46" s="732">
        <f t="shared" si="0"/>
        <v>0.12</v>
      </c>
      <c r="H46" s="1571"/>
    </row>
    <row r="47" spans="1:8" ht="36.75" customHeight="1">
      <c r="A47" s="1191"/>
      <c r="B47" s="1199"/>
      <c r="C47" s="1191"/>
      <c r="D47" s="2" t="s">
        <v>1557</v>
      </c>
      <c r="E47" s="730">
        <v>0.08</v>
      </c>
      <c r="F47" s="731">
        <v>1</v>
      </c>
      <c r="G47" s="732">
        <f t="shared" si="0"/>
        <v>0.08</v>
      </c>
      <c r="H47" s="1571"/>
    </row>
    <row r="48" spans="1:8" ht="35.25" customHeight="1">
      <c r="A48" s="1191"/>
      <c r="B48" s="1199"/>
      <c r="C48" s="1191"/>
      <c r="D48" s="2" t="s">
        <v>1558</v>
      </c>
      <c r="E48" s="730">
        <v>7.0000000000000007E-2</v>
      </c>
      <c r="F48" s="731">
        <v>1</v>
      </c>
      <c r="G48" s="732">
        <f t="shared" si="0"/>
        <v>7.0000000000000007E-2</v>
      </c>
      <c r="H48" s="1571"/>
    </row>
    <row r="49" spans="1:8" ht="31.5">
      <c r="A49" s="1191"/>
      <c r="B49" s="1199"/>
      <c r="C49" s="1191"/>
      <c r="D49" s="2" t="s">
        <v>1559</v>
      </c>
      <c r="E49" s="730">
        <v>0.2</v>
      </c>
      <c r="F49" s="731">
        <v>1</v>
      </c>
      <c r="G49" s="732">
        <f t="shared" si="0"/>
        <v>0.2</v>
      </c>
      <c r="H49" s="1571"/>
    </row>
    <row r="50" spans="1:8" ht="47.25">
      <c r="A50" s="1191"/>
      <c r="B50" s="1199"/>
      <c r="C50" s="1191"/>
      <c r="D50" s="2" t="s">
        <v>1560</v>
      </c>
      <c r="E50" s="730">
        <v>0.15</v>
      </c>
      <c r="F50" s="731">
        <v>1</v>
      </c>
      <c r="G50" s="732">
        <f t="shared" si="0"/>
        <v>0.15</v>
      </c>
      <c r="H50" s="1571"/>
    </row>
    <row r="51" spans="1:8" ht="49.5" customHeight="1">
      <c r="A51" s="1191"/>
      <c r="B51" s="1199"/>
      <c r="C51" s="1191"/>
      <c r="D51" s="2" t="s">
        <v>1561</v>
      </c>
      <c r="E51" s="730">
        <v>0.15</v>
      </c>
      <c r="F51" s="731">
        <v>1</v>
      </c>
      <c r="G51" s="732">
        <f t="shared" si="0"/>
        <v>0.15</v>
      </c>
      <c r="H51" s="1571"/>
    </row>
    <row r="52" spans="1:8" ht="33" customHeight="1">
      <c r="A52" s="1191"/>
      <c r="B52" s="1199"/>
      <c r="C52" s="1191"/>
      <c r="D52" s="2" t="s">
        <v>1562</v>
      </c>
      <c r="E52" s="730">
        <v>0.08</v>
      </c>
      <c r="F52" s="731">
        <v>1</v>
      </c>
      <c r="G52" s="732">
        <f t="shared" si="0"/>
        <v>0.08</v>
      </c>
      <c r="H52" s="1571"/>
    </row>
    <row r="53" spans="1:8" ht="66" customHeight="1">
      <c r="A53" s="1191" t="s">
        <v>1509</v>
      </c>
      <c r="B53" s="1199" t="s">
        <v>1563</v>
      </c>
      <c r="C53" s="1191">
        <v>0.08</v>
      </c>
      <c r="D53" s="2" t="s">
        <v>1564</v>
      </c>
      <c r="E53" s="730">
        <v>0.2</v>
      </c>
      <c r="F53" s="731"/>
      <c r="G53" s="732">
        <f t="shared" si="0"/>
        <v>0</v>
      </c>
      <c r="H53" s="1571">
        <f xml:space="preserve"> (G53+G54+G55+G56+G57+G58)/12.5</f>
        <v>0</v>
      </c>
    </row>
    <row r="54" spans="1:8" ht="33.75" customHeight="1">
      <c r="A54" s="1191"/>
      <c r="B54" s="1199"/>
      <c r="C54" s="1191"/>
      <c r="D54" s="2" t="s">
        <v>1565</v>
      </c>
      <c r="E54" s="730">
        <v>0.15</v>
      </c>
      <c r="F54" s="731"/>
      <c r="G54" s="732">
        <f t="shared" si="0"/>
        <v>0</v>
      </c>
      <c r="H54" s="1571"/>
    </row>
    <row r="55" spans="1:8" ht="66.75" customHeight="1">
      <c r="A55" s="1191"/>
      <c r="B55" s="1199"/>
      <c r="C55" s="1191"/>
      <c r="D55" s="2" t="s">
        <v>1566</v>
      </c>
      <c r="E55" s="730">
        <v>0.22</v>
      </c>
      <c r="F55" s="731"/>
      <c r="G55" s="732">
        <f t="shared" si="0"/>
        <v>0</v>
      </c>
      <c r="H55" s="1571"/>
    </row>
    <row r="56" spans="1:8" ht="78.75">
      <c r="A56" s="1191"/>
      <c r="B56" s="1199"/>
      <c r="C56" s="1191"/>
      <c r="D56" s="2" t="s">
        <v>1567</v>
      </c>
      <c r="E56" s="730">
        <v>0.14000000000000001</v>
      </c>
      <c r="F56" s="731"/>
      <c r="G56" s="732">
        <f t="shared" si="0"/>
        <v>0</v>
      </c>
      <c r="H56" s="1571"/>
    </row>
    <row r="57" spans="1:8" ht="31.5">
      <c r="A57" s="1191"/>
      <c r="B57" s="1199"/>
      <c r="C57" s="1191"/>
      <c r="D57" s="2" t="s">
        <v>1568</v>
      </c>
      <c r="E57" s="730">
        <v>0.12</v>
      </c>
      <c r="F57" s="731"/>
      <c r="G57" s="732">
        <f t="shared" si="0"/>
        <v>0</v>
      </c>
      <c r="H57" s="1571"/>
    </row>
    <row r="58" spans="1:8" ht="63.75" customHeight="1">
      <c r="A58" s="1191"/>
      <c r="B58" s="1199"/>
      <c r="C58" s="1191"/>
      <c r="D58" s="2" t="s">
        <v>1963</v>
      </c>
      <c r="E58" s="730">
        <v>0.17</v>
      </c>
      <c r="F58" s="731"/>
      <c r="G58" s="732">
        <f t="shared" si="0"/>
        <v>0</v>
      </c>
      <c r="H58" s="1571"/>
    </row>
    <row r="59" spans="1:8" ht="111.75" customHeight="1">
      <c r="A59" s="1191" t="s">
        <v>1964</v>
      </c>
      <c r="B59" s="1199" t="s">
        <v>1510</v>
      </c>
      <c r="C59" s="1191">
        <v>0.14000000000000001</v>
      </c>
      <c r="D59" s="2" t="s">
        <v>1965</v>
      </c>
      <c r="E59" s="730">
        <v>0.2</v>
      </c>
      <c r="F59" s="731">
        <v>1</v>
      </c>
      <c r="G59" s="732">
        <f t="shared" si="0"/>
        <v>0.2</v>
      </c>
      <c r="H59" s="1572">
        <f>(G59+G60+G61+G62)/7</f>
        <v>0.14285714285714285</v>
      </c>
    </row>
    <row r="60" spans="1:8" ht="66.75" customHeight="1">
      <c r="A60" s="1191"/>
      <c r="B60" s="1199"/>
      <c r="C60" s="1191"/>
      <c r="D60" s="2" t="s">
        <v>1511</v>
      </c>
      <c r="E60" s="730">
        <v>0.32</v>
      </c>
      <c r="F60" s="731">
        <v>1</v>
      </c>
      <c r="G60" s="732">
        <f t="shared" si="0"/>
        <v>0.32</v>
      </c>
      <c r="H60" s="1572"/>
    </row>
    <row r="61" spans="1:8" ht="83.25" customHeight="1">
      <c r="A61" s="1191"/>
      <c r="B61" s="1199"/>
      <c r="C61" s="1191"/>
      <c r="D61" s="2" t="s">
        <v>1966</v>
      </c>
      <c r="E61" s="730">
        <v>0.23</v>
      </c>
      <c r="F61" s="731">
        <v>1</v>
      </c>
      <c r="G61" s="732">
        <f t="shared" si="0"/>
        <v>0.23</v>
      </c>
      <c r="H61" s="1572"/>
    </row>
    <row r="62" spans="1:8" ht="144" customHeight="1">
      <c r="A62" s="1191"/>
      <c r="B62" s="1199"/>
      <c r="C62" s="1191"/>
      <c r="D62" s="2" t="s">
        <v>1967</v>
      </c>
      <c r="E62" s="730">
        <v>0.25</v>
      </c>
      <c r="F62" s="731">
        <v>1</v>
      </c>
      <c r="G62" s="732">
        <f t="shared" si="0"/>
        <v>0.25</v>
      </c>
      <c r="H62" s="1572"/>
    </row>
    <row r="63" spans="1:8" ht="30.75" customHeight="1">
      <c r="A63" s="733"/>
      <c r="B63" s="1200" t="s">
        <v>1968</v>
      </c>
      <c r="C63" s="1200"/>
      <c r="D63" s="1200"/>
      <c r="E63" s="733"/>
      <c r="F63" s="733"/>
      <c r="G63" s="699"/>
      <c r="H63" s="637">
        <f>SUM(H3:H62)</f>
        <v>0.92437025630273872</v>
      </c>
    </row>
    <row r="64" spans="1:8" s="302" customFormat="1" ht="15.75">
      <c r="A64" s="288" t="s">
        <v>182</v>
      </c>
      <c r="B64" s="289"/>
      <c r="C64" s="342"/>
      <c r="E64" s="343"/>
      <c r="F64" s="344"/>
      <c r="G64" s="112"/>
    </row>
    <row r="65" spans="1:7" s="302" customFormat="1" ht="17.25">
      <c r="A65" s="345" t="s">
        <v>589</v>
      </c>
      <c r="B65" s="346"/>
      <c r="C65" s="347"/>
      <c r="D65" s="303"/>
      <c r="E65" s="348"/>
      <c r="F65" s="349"/>
      <c r="G65" s="112"/>
    </row>
    <row r="66" spans="1:7" s="302" customFormat="1" ht="17.25">
      <c r="A66" s="345" t="s">
        <v>590</v>
      </c>
      <c r="B66" s="346"/>
      <c r="C66" s="347"/>
      <c r="D66" s="303"/>
      <c r="E66" s="348"/>
      <c r="F66" s="349"/>
      <c r="G66" s="112"/>
    </row>
    <row r="67" spans="1:7" s="302" customFormat="1" ht="17.25">
      <c r="A67" s="345" t="s">
        <v>591</v>
      </c>
      <c r="B67" s="346"/>
      <c r="C67" s="347"/>
      <c r="D67" s="303"/>
      <c r="E67" s="348"/>
      <c r="F67" s="349"/>
      <c r="G67" s="112"/>
    </row>
    <row r="68" spans="1:7" s="302" customFormat="1" ht="17.25">
      <c r="A68" s="345" t="s">
        <v>592</v>
      </c>
      <c r="B68" s="346"/>
      <c r="C68" s="347"/>
      <c r="D68" s="303"/>
      <c r="E68" s="348"/>
      <c r="F68" s="349"/>
      <c r="G68" s="112"/>
    </row>
    <row r="69" spans="1:7" s="302" customFormat="1" ht="17.25">
      <c r="A69" s="345" t="s">
        <v>593</v>
      </c>
      <c r="B69" s="346"/>
      <c r="C69" s="347"/>
      <c r="D69" s="303"/>
      <c r="E69" s="348"/>
      <c r="F69" s="349"/>
      <c r="G69" s="112"/>
    </row>
    <row r="70" spans="1:7" s="302" customFormat="1" ht="17.25">
      <c r="A70" s="345" t="s">
        <v>594</v>
      </c>
      <c r="B70" s="346"/>
      <c r="C70" s="347"/>
      <c r="D70" s="303"/>
      <c r="E70" s="348"/>
      <c r="F70" s="349"/>
      <c r="G70" s="112"/>
    </row>
    <row r="71" spans="1:7" s="302" customFormat="1" ht="17.25">
      <c r="A71" s="345" t="s">
        <v>595</v>
      </c>
      <c r="B71" s="346"/>
      <c r="C71" s="347"/>
      <c r="D71" s="303"/>
      <c r="E71" s="348"/>
      <c r="F71" s="349"/>
      <c r="G71" s="112"/>
    </row>
    <row r="72" spans="1:7" s="302" customFormat="1" ht="15.75">
      <c r="A72" s="350" t="s">
        <v>596</v>
      </c>
      <c r="B72" s="346"/>
      <c r="C72" s="347"/>
      <c r="D72" s="303"/>
      <c r="E72" s="348"/>
      <c r="F72" s="349"/>
      <c r="G72" s="112"/>
    </row>
    <row r="73" spans="1:7" s="302" customFormat="1" ht="15.75">
      <c r="A73" s="345" t="s">
        <v>597</v>
      </c>
      <c r="B73" s="346"/>
      <c r="C73" s="347"/>
      <c r="D73" s="303"/>
      <c r="E73" s="348"/>
      <c r="F73" s="349"/>
      <c r="G73" s="112"/>
    </row>
    <row r="74" spans="1:7" s="302" customFormat="1" ht="15.75">
      <c r="A74" s="288" t="s">
        <v>792</v>
      </c>
      <c r="B74" s="346"/>
      <c r="C74" s="347"/>
      <c r="D74" s="303"/>
      <c r="E74" s="348"/>
      <c r="F74" s="349"/>
      <c r="G74" s="112"/>
    </row>
    <row r="75" spans="1:7" s="302" customFormat="1" ht="15.75">
      <c r="A75" s="288" t="s">
        <v>793</v>
      </c>
      <c r="B75" s="346"/>
      <c r="C75" s="347"/>
      <c r="D75" s="303"/>
      <c r="E75" s="348"/>
      <c r="F75" s="349"/>
      <c r="G75" s="112"/>
    </row>
    <row r="76" spans="1:7" s="302" customFormat="1" ht="15.75">
      <c r="A76" s="288" t="s">
        <v>794</v>
      </c>
      <c r="B76" s="346"/>
      <c r="C76" s="347"/>
      <c r="D76" s="303"/>
      <c r="E76" s="348"/>
      <c r="F76" s="349"/>
      <c r="G76" s="112"/>
    </row>
    <row r="77" spans="1:7" s="302" customFormat="1" ht="15.75">
      <c r="A77" s="342"/>
      <c r="B77" s="342" t="s">
        <v>20</v>
      </c>
      <c r="C77" s="342"/>
      <c r="D77" s="342"/>
      <c r="E77" s="342"/>
      <c r="F77" s="342"/>
      <c r="G77" s="342"/>
    </row>
    <row r="78" spans="1:7" s="302" customFormat="1" ht="15.75">
      <c r="A78" s="351"/>
      <c r="B78" s="351"/>
      <c r="C78" s="351"/>
      <c r="D78" s="351"/>
      <c r="E78" s="351"/>
      <c r="F78" s="351"/>
      <c r="G78" s="351"/>
    </row>
    <row r="79" spans="1:7" s="302" customFormat="1" ht="15.75">
      <c r="A79" s="351"/>
      <c r="B79" s="351"/>
      <c r="C79" s="351"/>
      <c r="D79" s="351"/>
      <c r="E79" s="351"/>
      <c r="F79" s="351"/>
      <c r="G79" s="351"/>
    </row>
    <row r="80" spans="1:7" s="302" customFormat="1" ht="15.75">
      <c r="A80" s="351"/>
      <c r="B80" s="351"/>
      <c r="C80" s="351"/>
      <c r="D80" s="351"/>
      <c r="E80" s="351"/>
      <c r="F80" s="351"/>
      <c r="G80" s="351"/>
    </row>
    <row r="81" spans="1:7" s="302" customFormat="1" ht="15.75">
      <c r="A81" s="351"/>
      <c r="B81" s="351"/>
      <c r="C81" s="351"/>
      <c r="D81" s="351"/>
      <c r="E81" s="351"/>
      <c r="F81" s="351"/>
      <c r="G81" s="351"/>
    </row>
    <row r="82" spans="1:7" s="302" customFormat="1" ht="15.75">
      <c r="A82" s="351"/>
      <c r="B82" s="351"/>
      <c r="C82" s="351"/>
      <c r="D82" s="351"/>
      <c r="E82" s="351"/>
      <c r="F82" s="351"/>
      <c r="G82" s="351"/>
    </row>
    <row r="83" spans="1:7" s="302" customFormat="1" ht="15.75">
      <c r="A83" s="351"/>
      <c r="B83" s="351"/>
      <c r="C83" s="351"/>
      <c r="D83" s="351"/>
      <c r="E83" s="351"/>
      <c r="F83" s="351"/>
      <c r="G83" s="351"/>
    </row>
    <row r="84" spans="1:7" s="302" customFormat="1" ht="15.75">
      <c r="A84" s="351"/>
      <c r="B84" s="351"/>
      <c r="C84" s="351"/>
      <c r="D84" s="351"/>
      <c r="E84" s="351"/>
      <c r="F84" s="351"/>
      <c r="G84" s="351"/>
    </row>
    <row r="85" spans="1:7" s="302" customFormat="1" ht="15.75">
      <c r="A85" s="351"/>
      <c r="B85" s="351"/>
      <c r="C85" s="351"/>
      <c r="D85" s="351"/>
      <c r="E85" s="351"/>
      <c r="F85" s="351"/>
      <c r="G85" s="351"/>
    </row>
    <row r="86" spans="1:7" s="302" customFormat="1" ht="15.75">
      <c r="A86" s="351"/>
      <c r="B86" s="351"/>
      <c r="C86" s="351"/>
      <c r="D86" s="351"/>
      <c r="E86" s="351"/>
      <c r="F86" s="351"/>
      <c r="G86" s="351"/>
    </row>
    <row r="87" spans="1:7" s="302" customFormat="1" ht="15.75">
      <c r="A87" s="351"/>
      <c r="B87" s="351"/>
      <c r="C87" s="351"/>
      <c r="D87" s="351"/>
      <c r="E87" s="351"/>
      <c r="F87" s="351"/>
      <c r="G87" s="351"/>
    </row>
    <row r="88" spans="1:7" s="302" customFormat="1" ht="15.75">
      <c r="A88" s="351"/>
      <c r="B88" s="351"/>
      <c r="C88" s="351"/>
      <c r="D88" s="351"/>
      <c r="E88" s="351"/>
      <c r="F88" s="351"/>
      <c r="G88" s="351"/>
    </row>
    <row r="89" spans="1:7" s="302" customFormat="1" ht="15.75">
      <c r="A89" s="351"/>
      <c r="B89" s="351"/>
      <c r="C89" s="351"/>
      <c r="D89" s="351"/>
      <c r="E89" s="351"/>
      <c r="F89" s="351"/>
      <c r="G89" s="351"/>
    </row>
    <row r="90" spans="1:7" s="302" customFormat="1" ht="15.75">
      <c r="A90" s="351"/>
      <c r="B90" s="351"/>
      <c r="C90" s="351"/>
      <c r="D90" s="351"/>
      <c r="E90" s="351"/>
      <c r="F90" s="351"/>
      <c r="G90" s="351"/>
    </row>
    <row r="91" spans="1:7" s="302" customFormat="1" ht="15.75">
      <c r="A91" s="351"/>
      <c r="B91" s="351"/>
      <c r="C91" s="351"/>
      <c r="D91" s="351"/>
      <c r="E91" s="351"/>
      <c r="F91" s="351"/>
      <c r="G91" s="351"/>
    </row>
    <row r="92" spans="1:7" s="302" customFormat="1" ht="15.75">
      <c r="A92" s="342"/>
      <c r="B92" s="352" t="s">
        <v>2418</v>
      </c>
      <c r="C92" s="352"/>
      <c r="D92" s="352"/>
      <c r="E92" s="352"/>
      <c r="F92" s="352"/>
      <c r="G92" s="352"/>
    </row>
    <row r="93" spans="1:7" s="302" customFormat="1" ht="15.75">
      <c r="A93" s="342"/>
      <c r="B93" s="353"/>
      <c r="C93" s="353"/>
      <c r="D93" s="353"/>
      <c r="E93" s="353"/>
      <c r="F93" s="353"/>
      <c r="G93" s="353"/>
    </row>
    <row r="94" spans="1:7" s="302" customFormat="1" ht="15.75">
      <c r="A94" s="342"/>
      <c r="B94" s="352" t="s">
        <v>22</v>
      </c>
      <c r="C94" s="352"/>
      <c r="D94" s="352"/>
      <c r="E94" s="352"/>
      <c r="F94" s="352"/>
      <c r="G94" s="352"/>
    </row>
    <row r="95" spans="1:7" s="302" customFormat="1" ht="15.75">
      <c r="A95" s="342"/>
      <c r="B95" s="353"/>
      <c r="C95" s="353"/>
      <c r="D95" s="353"/>
      <c r="E95" s="353"/>
      <c r="F95" s="353"/>
      <c r="G95" s="353"/>
    </row>
    <row r="96" spans="1:7" s="302" customFormat="1" ht="15.75">
      <c r="A96" s="342"/>
      <c r="B96" s="352" t="s">
        <v>23</v>
      </c>
      <c r="C96" s="352"/>
      <c r="D96" s="352"/>
      <c r="E96" s="352"/>
      <c r="F96" s="352"/>
      <c r="G96" s="352"/>
    </row>
    <row r="97" spans="1:7" s="302" customFormat="1" ht="15.75">
      <c r="A97" s="342"/>
      <c r="B97" s="352" t="s">
        <v>24</v>
      </c>
      <c r="C97" s="352"/>
      <c r="D97" s="352"/>
      <c r="E97" s="352"/>
      <c r="F97" s="352"/>
      <c r="G97" s="352"/>
    </row>
    <row r="98" spans="1:7" s="303" customFormat="1" ht="15.75">
      <c r="A98" s="346"/>
      <c r="B98" s="346"/>
      <c r="E98" s="333"/>
    </row>
    <row r="99" spans="1:7" ht="15.75">
      <c r="A99" s="290"/>
      <c r="B99" s="289"/>
      <c r="C99" s="332"/>
      <c r="D99" s="25"/>
      <c r="E99" s="332"/>
      <c r="F99" s="25"/>
      <c r="G99" s="25"/>
    </row>
  </sheetData>
  <mergeCells count="46">
    <mergeCell ref="A1:H1"/>
    <mergeCell ref="A3:A10"/>
    <mergeCell ref="B3:B10"/>
    <mergeCell ref="C3:C10"/>
    <mergeCell ref="H3:H10"/>
    <mergeCell ref="A11:A15"/>
    <mergeCell ref="B11:B15"/>
    <mergeCell ref="C11:C15"/>
    <mergeCell ref="H11:H15"/>
    <mergeCell ref="A16:A20"/>
    <mergeCell ref="B16:B20"/>
    <mergeCell ref="C16:C20"/>
    <mergeCell ref="H16:H20"/>
    <mergeCell ref="A21:A26"/>
    <mergeCell ref="B21:B26"/>
    <mergeCell ref="C21:C26"/>
    <mergeCell ref="H21:H26"/>
    <mergeCell ref="A27:A35"/>
    <mergeCell ref="B27:B35"/>
    <mergeCell ref="C27:C35"/>
    <mergeCell ref="H27:H35"/>
    <mergeCell ref="A36:A37"/>
    <mergeCell ref="B36:B37"/>
    <mergeCell ref="C36:C37"/>
    <mergeCell ref="H36:H37"/>
    <mergeCell ref="A38:A41"/>
    <mergeCell ref="B38:B41"/>
    <mergeCell ref="C38:C41"/>
    <mergeCell ref="H38:H41"/>
    <mergeCell ref="B63:D63"/>
    <mergeCell ref="A42:A44"/>
    <mergeCell ref="B42:B44"/>
    <mergeCell ref="C42:C44"/>
    <mergeCell ref="H42:H44"/>
    <mergeCell ref="A45:A52"/>
    <mergeCell ref="B45:B52"/>
    <mergeCell ref="C45:C52"/>
    <mergeCell ref="H45:H52"/>
    <mergeCell ref="A59:A62"/>
    <mergeCell ref="A53:A58"/>
    <mergeCell ref="B53:B58"/>
    <mergeCell ref="C53:C58"/>
    <mergeCell ref="H53:H58"/>
    <mergeCell ref="B59:B62"/>
    <mergeCell ref="C59:C62"/>
    <mergeCell ref="H59:H62"/>
  </mergeCells>
  <phoneticPr fontId="4" type="noConversion"/>
  <pageMargins left="0.7" right="0.7" top="0.75" bottom="0.75" header="0.3" footer="0.3"/>
  <pageSetup paperSize="9" scale="75" orientation="portrait" r:id="rId1"/>
</worksheet>
</file>

<file path=xl/worksheets/sheet65.xml><?xml version="1.0" encoding="utf-8"?>
<worksheet xmlns="http://schemas.openxmlformats.org/spreadsheetml/2006/main" xmlns:r="http://schemas.openxmlformats.org/officeDocument/2006/relationships">
  <dimension ref="A1:H68"/>
  <sheetViews>
    <sheetView tabSelected="1" view="pageLayout" zoomScaleNormal="100" workbookViewId="0">
      <selection sqref="A1:H1"/>
    </sheetView>
  </sheetViews>
  <sheetFormatPr defaultRowHeight="15"/>
  <cols>
    <col min="1" max="1" width="9.140625" style="1118"/>
    <col min="2" max="2" width="17" style="1118" customWidth="1"/>
    <col min="3" max="3" width="9.140625" style="1118"/>
    <col min="4" max="4" width="41.5703125" style="1118" customWidth="1"/>
    <col min="5" max="5" width="12.42578125" style="1118" customWidth="1"/>
    <col min="6" max="6" width="12.28515625" style="1118" customWidth="1"/>
    <col min="7" max="7" width="11.5703125" style="1118" customWidth="1"/>
    <col min="8" max="8" width="11.140625" style="1118" customWidth="1"/>
    <col min="9" max="16384" width="9.140625" style="1118"/>
  </cols>
  <sheetData>
    <row r="1" spans="1:8" ht="119.25" customHeight="1">
      <c r="A1" s="1573" t="s">
        <v>2505</v>
      </c>
      <c r="B1" s="1574"/>
      <c r="C1" s="1574"/>
      <c r="D1" s="1574"/>
      <c r="E1" s="1574"/>
      <c r="F1" s="1574"/>
      <c r="G1" s="1574"/>
      <c r="H1" s="1574"/>
    </row>
    <row r="2" spans="1:8" ht="87" customHeight="1">
      <c r="A2" s="1573" t="s">
        <v>2500</v>
      </c>
      <c r="B2" s="1573"/>
      <c r="C2" s="1573"/>
      <c r="D2" s="1573"/>
      <c r="E2" s="1573"/>
      <c r="F2" s="1573"/>
      <c r="G2" s="1573"/>
      <c r="H2" s="1573"/>
    </row>
    <row r="3" spans="1:8" ht="60.75" customHeight="1">
      <c r="A3" s="1124"/>
      <c r="B3" s="1124" t="s">
        <v>1612</v>
      </c>
      <c r="C3" s="1124" t="s">
        <v>2482</v>
      </c>
      <c r="D3" s="1124" t="s">
        <v>1613</v>
      </c>
      <c r="E3" s="1124" t="s">
        <v>2481</v>
      </c>
      <c r="F3" s="1125" t="s">
        <v>1614</v>
      </c>
      <c r="G3" s="1124" t="s">
        <v>1615</v>
      </c>
      <c r="H3" s="1124" t="s">
        <v>1616</v>
      </c>
    </row>
    <row r="4" spans="1:8" ht="34.5" customHeight="1">
      <c r="A4" s="1575" t="s">
        <v>634</v>
      </c>
      <c r="B4" s="1578" t="s">
        <v>1763</v>
      </c>
      <c r="C4" s="1575">
        <v>0.1</v>
      </c>
      <c r="D4" s="499" t="s">
        <v>2484</v>
      </c>
      <c r="E4" s="1121">
        <v>0.3</v>
      </c>
      <c r="F4" s="1128">
        <v>1</v>
      </c>
      <c r="G4" s="1129">
        <f>E4*F4</f>
        <v>0.3</v>
      </c>
      <c r="H4" s="1584">
        <f>SUM(G4:G6)*C4</f>
        <v>0.1</v>
      </c>
    </row>
    <row r="5" spans="1:8" ht="34.5" customHeight="1">
      <c r="A5" s="1576"/>
      <c r="B5" s="1579"/>
      <c r="C5" s="1576"/>
      <c r="D5" s="2" t="s">
        <v>2485</v>
      </c>
      <c r="E5" s="1121">
        <v>0.4</v>
      </c>
      <c r="F5" s="1128">
        <v>1</v>
      </c>
      <c r="G5" s="1129">
        <f t="shared" ref="G5:G25" si="0">E5*F5</f>
        <v>0.4</v>
      </c>
      <c r="H5" s="1585"/>
    </row>
    <row r="6" spans="1:8" ht="161.25" customHeight="1">
      <c r="A6" s="1577"/>
      <c r="B6" s="1580"/>
      <c r="C6" s="1577"/>
      <c r="D6" s="1122" t="s">
        <v>2483</v>
      </c>
      <c r="E6" s="1121">
        <v>0.3</v>
      </c>
      <c r="F6" s="1128">
        <v>1</v>
      </c>
      <c r="G6" s="1129">
        <v>0.3</v>
      </c>
      <c r="H6" s="1586"/>
    </row>
    <row r="7" spans="1:8" ht="48" customHeight="1">
      <c r="A7" s="1581">
        <v>2</v>
      </c>
      <c r="B7" s="1578" t="s">
        <v>1764</v>
      </c>
      <c r="C7" s="1581">
        <v>0.1</v>
      </c>
      <c r="D7" s="1126" t="s">
        <v>2501</v>
      </c>
      <c r="E7" s="1121">
        <v>0.5</v>
      </c>
      <c r="F7" s="1128">
        <v>1</v>
      </c>
      <c r="G7" s="1129">
        <f t="shared" si="0"/>
        <v>0.5</v>
      </c>
      <c r="H7" s="1584">
        <f>SUM(G7:G9)*C7</f>
        <v>0.1</v>
      </c>
    </row>
    <row r="8" spans="1:8" ht="31.5" customHeight="1">
      <c r="A8" s="1582"/>
      <c r="B8" s="1579"/>
      <c r="C8" s="1582"/>
      <c r="D8" s="617" t="s">
        <v>2486</v>
      </c>
      <c r="E8" s="1121">
        <v>0.2</v>
      </c>
      <c r="F8" s="1128">
        <v>1</v>
      </c>
      <c r="G8" s="1129">
        <f t="shared" si="0"/>
        <v>0.2</v>
      </c>
      <c r="H8" s="1588"/>
    </row>
    <row r="9" spans="1:8" ht="51.75" customHeight="1">
      <c r="A9" s="1583"/>
      <c r="B9" s="1580"/>
      <c r="C9" s="1583"/>
      <c r="D9" s="2" t="s">
        <v>2487</v>
      </c>
      <c r="E9" s="1121">
        <v>0.3</v>
      </c>
      <c r="F9" s="1128">
        <v>1</v>
      </c>
      <c r="G9" s="1129">
        <f t="shared" si="0"/>
        <v>0.3</v>
      </c>
      <c r="H9" s="1589"/>
    </row>
    <row r="10" spans="1:8" ht="18.75">
      <c r="A10" s="1581">
        <v>3</v>
      </c>
      <c r="B10" s="1578" t="s">
        <v>1765</v>
      </c>
      <c r="C10" s="1581">
        <v>0.3</v>
      </c>
      <c r="D10" s="499" t="s">
        <v>2498</v>
      </c>
      <c r="E10" s="1121">
        <v>0.3</v>
      </c>
      <c r="F10" s="1128">
        <v>1</v>
      </c>
      <c r="G10" s="1129">
        <f t="shared" si="0"/>
        <v>0.3</v>
      </c>
      <c r="H10" s="1584">
        <f>SUM(G10:G15)*C10</f>
        <v>0.3</v>
      </c>
    </row>
    <row r="11" spans="1:8" ht="30.75" customHeight="1">
      <c r="A11" s="1582"/>
      <c r="B11" s="1579"/>
      <c r="C11" s="1582"/>
      <c r="D11" s="521" t="s">
        <v>2497</v>
      </c>
      <c r="E11" s="1121">
        <v>0.3</v>
      </c>
      <c r="F11" s="1128">
        <v>1</v>
      </c>
      <c r="G11" s="1129">
        <f t="shared" si="0"/>
        <v>0.3</v>
      </c>
      <c r="H11" s="1585"/>
    </row>
    <row r="12" spans="1:8" ht="34.5" customHeight="1">
      <c r="A12" s="1582"/>
      <c r="B12" s="1579"/>
      <c r="C12" s="1582"/>
      <c r="D12" s="521" t="s">
        <v>2488</v>
      </c>
      <c r="E12" s="1121">
        <v>0.1</v>
      </c>
      <c r="F12" s="1128">
        <v>1</v>
      </c>
      <c r="G12" s="1129">
        <f t="shared" si="0"/>
        <v>0.1</v>
      </c>
      <c r="H12" s="1585"/>
    </row>
    <row r="13" spans="1:8" ht="31.5">
      <c r="A13" s="1582"/>
      <c r="B13" s="1579"/>
      <c r="C13" s="1582"/>
      <c r="D13" s="674" t="s">
        <v>2489</v>
      </c>
      <c r="E13" s="1121">
        <v>0.05</v>
      </c>
      <c r="F13" s="1128">
        <v>1</v>
      </c>
      <c r="G13" s="1129">
        <f t="shared" si="0"/>
        <v>0.05</v>
      </c>
      <c r="H13" s="1585"/>
    </row>
    <row r="14" spans="1:8" ht="35.25" customHeight="1">
      <c r="A14" s="1582"/>
      <c r="B14" s="1579"/>
      <c r="C14" s="1582"/>
      <c r="D14" s="674" t="s">
        <v>2490</v>
      </c>
      <c r="E14" s="1121">
        <v>0.05</v>
      </c>
      <c r="F14" s="1128">
        <v>1</v>
      </c>
      <c r="G14" s="1129">
        <f t="shared" si="0"/>
        <v>0.05</v>
      </c>
      <c r="H14" s="1585"/>
    </row>
    <row r="15" spans="1:8" ht="32.25" customHeight="1">
      <c r="A15" s="1583"/>
      <c r="B15" s="1580"/>
      <c r="C15" s="1583"/>
      <c r="D15" s="499" t="s">
        <v>2491</v>
      </c>
      <c r="E15" s="1121">
        <v>0.2</v>
      </c>
      <c r="F15" s="1128">
        <v>1</v>
      </c>
      <c r="G15" s="1129">
        <f t="shared" si="0"/>
        <v>0.2</v>
      </c>
      <c r="H15" s="1586"/>
    </row>
    <row r="16" spans="1:8" ht="66.75" customHeight="1">
      <c r="A16" s="1581">
        <v>4</v>
      </c>
      <c r="B16" s="1578" t="s">
        <v>2477</v>
      </c>
      <c r="C16" s="1581">
        <v>0.5</v>
      </c>
      <c r="D16" s="2" t="s">
        <v>2502</v>
      </c>
      <c r="E16" s="1121">
        <v>0.05</v>
      </c>
      <c r="F16" s="1128">
        <v>1</v>
      </c>
      <c r="G16" s="1129">
        <f t="shared" si="0"/>
        <v>0.05</v>
      </c>
      <c r="H16" s="1584">
        <f>SUM(G16:G25)*C16</f>
        <v>0.5</v>
      </c>
    </row>
    <row r="17" spans="1:8" ht="45.75" customHeight="1">
      <c r="A17" s="1582"/>
      <c r="B17" s="1579"/>
      <c r="C17" s="1582"/>
      <c r="D17" s="521" t="s">
        <v>2496</v>
      </c>
      <c r="E17" s="1121">
        <v>0.05</v>
      </c>
      <c r="F17" s="1128">
        <v>1</v>
      </c>
      <c r="G17" s="1129">
        <f t="shared" si="0"/>
        <v>0.05</v>
      </c>
      <c r="H17" s="1585"/>
    </row>
    <row r="18" spans="1:8" ht="64.5" customHeight="1">
      <c r="A18" s="1582"/>
      <c r="B18" s="1579"/>
      <c r="C18" s="1582"/>
      <c r="D18" s="521" t="s">
        <v>2478</v>
      </c>
      <c r="E18" s="1121">
        <v>0.05</v>
      </c>
      <c r="F18" s="1128">
        <v>1</v>
      </c>
      <c r="G18" s="1130">
        <f t="shared" si="0"/>
        <v>0.05</v>
      </c>
      <c r="H18" s="1585"/>
    </row>
    <row r="19" spans="1:8" ht="51.75" customHeight="1">
      <c r="A19" s="1582"/>
      <c r="B19" s="1579"/>
      <c r="C19" s="1582"/>
      <c r="D19" s="521" t="s">
        <v>2495</v>
      </c>
      <c r="E19" s="1121">
        <v>0.05</v>
      </c>
      <c r="F19" s="1128">
        <v>1</v>
      </c>
      <c r="G19" s="1129">
        <f t="shared" si="0"/>
        <v>0.05</v>
      </c>
      <c r="H19" s="1585"/>
    </row>
    <row r="20" spans="1:8" s="273" customFormat="1" ht="35.25" customHeight="1">
      <c r="A20" s="1582"/>
      <c r="B20" s="1579"/>
      <c r="C20" s="1582"/>
      <c r="D20" s="2" t="s">
        <v>2494</v>
      </c>
      <c r="E20" s="1121">
        <v>0.2</v>
      </c>
      <c r="F20" s="1128">
        <v>1</v>
      </c>
      <c r="G20" s="1129">
        <f t="shared" si="0"/>
        <v>0.2</v>
      </c>
      <c r="H20" s="1585"/>
    </row>
    <row r="21" spans="1:8" s="273" customFormat="1" ht="35.25" customHeight="1">
      <c r="A21" s="1582"/>
      <c r="B21" s="1579"/>
      <c r="C21" s="1582"/>
      <c r="D21" s="2" t="s">
        <v>2479</v>
      </c>
      <c r="E21" s="1121">
        <v>0.05</v>
      </c>
      <c r="F21" s="1128">
        <v>1</v>
      </c>
      <c r="G21" s="1130">
        <f t="shared" si="0"/>
        <v>0.05</v>
      </c>
      <c r="H21" s="1585"/>
    </row>
    <row r="22" spans="1:8" s="273" customFormat="1" ht="35.25" customHeight="1">
      <c r="A22" s="1582"/>
      <c r="B22" s="1579"/>
      <c r="C22" s="1582"/>
      <c r="D22" s="2" t="s">
        <v>2492</v>
      </c>
      <c r="E22" s="1121">
        <v>0.2</v>
      </c>
      <c r="F22" s="1128">
        <v>1</v>
      </c>
      <c r="G22" s="1129">
        <f t="shared" si="0"/>
        <v>0.2</v>
      </c>
      <c r="H22" s="1585"/>
    </row>
    <row r="23" spans="1:8" ht="31.5">
      <c r="A23" s="1582"/>
      <c r="B23" s="1579"/>
      <c r="C23" s="1582"/>
      <c r="D23" s="2" t="s">
        <v>2493</v>
      </c>
      <c r="E23" s="1121">
        <v>0.1</v>
      </c>
      <c r="F23" s="1128">
        <v>1</v>
      </c>
      <c r="G23" s="1130">
        <f t="shared" si="0"/>
        <v>0.1</v>
      </c>
      <c r="H23" s="1585"/>
    </row>
    <row r="24" spans="1:8" ht="35.25" customHeight="1" thickBot="1">
      <c r="A24" s="1582"/>
      <c r="B24" s="1579"/>
      <c r="C24" s="1582"/>
      <c r="D24" s="1123" t="s">
        <v>2504</v>
      </c>
      <c r="E24" s="1121">
        <v>0.2</v>
      </c>
      <c r="F24" s="1128">
        <v>1</v>
      </c>
      <c r="G24" s="1129">
        <f t="shared" si="0"/>
        <v>0.2</v>
      </c>
      <c r="H24" s="1585"/>
    </row>
    <row r="25" spans="1:8" ht="63.75" customHeight="1">
      <c r="A25" s="1583"/>
      <c r="B25" s="1580"/>
      <c r="C25" s="1583"/>
      <c r="D25" s="2" t="s">
        <v>2503</v>
      </c>
      <c r="E25" s="1121">
        <v>0.05</v>
      </c>
      <c r="F25" s="1128">
        <v>1</v>
      </c>
      <c r="G25" s="1129">
        <f t="shared" si="0"/>
        <v>0.05</v>
      </c>
      <c r="H25" s="1586"/>
    </row>
    <row r="26" spans="1:8" ht="30" customHeight="1">
      <c r="A26" s="1590" t="s">
        <v>1377</v>
      </c>
      <c r="B26" s="1591"/>
      <c r="C26" s="1591"/>
      <c r="D26" s="1591"/>
      <c r="E26" s="1591"/>
      <c r="F26" s="1591"/>
      <c r="G26" s="1592"/>
      <c r="H26" s="1120">
        <f xml:space="preserve"> SUM(H4:H25)</f>
        <v>1</v>
      </c>
    </row>
    <row r="27" spans="1:8" s="302" customFormat="1" ht="15.75">
      <c r="A27" s="288" t="s">
        <v>182</v>
      </c>
      <c r="B27" s="289"/>
      <c r="C27" s="342"/>
      <c r="E27" s="343"/>
      <c r="F27" s="344"/>
      <c r="G27" s="112"/>
    </row>
    <row r="28" spans="1:8" s="302" customFormat="1" ht="17.25">
      <c r="A28" s="345" t="s">
        <v>589</v>
      </c>
      <c r="B28" s="346"/>
      <c r="C28" s="347"/>
      <c r="D28" s="303"/>
      <c r="E28" s="348"/>
      <c r="F28" s="349"/>
      <c r="G28" s="112"/>
    </row>
    <row r="29" spans="1:8" s="302" customFormat="1" ht="17.25">
      <c r="A29" s="345" t="s">
        <v>590</v>
      </c>
      <c r="B29" s="346"/>
      <c r="C29" s="347"/>
      <c r="D29" s="303"/>
      <c r="E29" s="348"/>
      <c r="F29" s="349"/>
      <c r="G29" s="112"/>
    </row>
    <row r="30" spans="1:8" s="302" customFormat="1" ht="17.25">
      <c r="A30" s="345" t="s">
        <v>591</v>
      </c>
      <c r="B30" s="346"/>
      <c r="C30" s="347"/>
      <c r="D30" s="303"/>
      <c r="E30" s="348"/>
      <c r="F30" s="349"/>
      <c r="G30" s="112"/>
    </row>
    <row r="31" spans="1:8" s="302" customFormat="1" ht="17.25">
      <c r="A31" s="345" t="s">
        <v>592</v>
      </c>
      <c r="B31" s="346"/>
      <c r="C31" s="347"/>
      <c r="D31" s="303"/>
      <c r="E31" s="348"/>
      <c r="F31" s="349"/>
      <c r="G31" s="112"/>
    </row>
    <row r="32" spans="1:8" s="302" customFormat="1" ht="17.25">
      <c r="A32" s="345" t="s">
        <v>593</v>
      </c>
      <c r="B32" s="346"/>
      <c r="C32" s="347"/>
      <c r="D32" s="303"/>
      <c r="E32" s="348"/>
      <c r="F32" s="349"/>
      <c r="G32" s="112"/>
    </row>
    <row r="33" spans="1:7" s="302" customFormat="1" ht="17.25">
      <c r="A33" s="345" t="s">
        <v>594</v>
      </c>
      <c r="B33" s="346"/>
      <c r="C33" s="347"/>
      <c r="D33" s="303"/>
      <c r="E33" s="348"/>
      <c r="F33" s="349"/>
      <c r="G33" s="112"/>
    </row>
    <row r="34" spans="1:7" s="302" customFormat="1" ht="17.25">
      <c r="A34" s="345" t="s">
        <v>595</v>
      </c>
      <c r="B34" s="346"/>
      <c r="C34" s="347"/>
      <c r="D34" s="303"/>
      <c r="E34" s="348"/>
      <c r="F34" s="349"/>
      <c r="G34" s="112"/>
    </row>
    <row r="35" spans="1:7" s="302" customFormat="1" ht="15.75">
      <c r="A35" s="350" t="s">
        <v>596</v>
      </c>
      <c r="B35" s="346"/>
      <c r="C35" s="347"/>
      <c r="D35" s="303"/>
      <c r="E35" s="348"/>
      <c r="F35" s="349"/>
      <c r="G35" s="112"/>
    </row>
    <row r="36" spans="1:7" s="302" customFormat="1" ht="15.75">
      <c r="A36" s="345" t="s">
        <v>597</v>
      </c>
      <c r="B36" s="346"/>
      <c r="C36" s="347"/>
      <c r="D36" s="303"/>
      <c r="E36" s="348"/>
      <c r="F36" s="349"/>
      <c r="G36" s="112"/>
    </row>
    <row r="37" spans="1:7" s="302" customFormat="1" ht="15.75">
      <c r="A37" s="288" t="s">
        <v>792</v>
      </c>
      <c r="B37" s="346"/>
      <c r="C37" s="347"/>
      <c r="D37" s="303"/>
      <c r="E37" s="348"/>
      <c r="F37" s="349"/>
      <c r="G37" s="112"/>
    </row>
    <row r="38" spans="1:7" s="302" customFormat="1" ht="15.75">
      <c r="A38" s="288" t="s">
        <v>793</v>
      </c>
      <c r="B38" s="346"/>
      <c r="C38" s="347"/>
      <c r="D38" s="303"/>
      <c r="E38" s="348"/>
      <c r="F38" s="349"/>
      <c r="G38" s="112"/>
    </row>
    <row r="39" spans="1:7" s="302" customFormat="1" ht="15.75">
      <c r="A39" s="288" t="s">
        <v>794</v>
      </c>
      <c r="B39" s="346"/>
      <c r="C39" s="347"/>
      <c r="D39" s="303"/>
      <c r="E39" s="348"/>
      <c r="F39" s="349"/>
      <c r="G39" s="112"/>
    </row>
    <row r="40" spans="1:7" s="302" customFormat="1" ht="15.75">
      <c r="A40" s="342"/>
      <c r="B40" s="342" t="s">
        <v>20</v>
      </c>
      <c r="C40" s="342"/>
      <c r="D40" s="342"/>
      <c r="E40" s="342"/>
      <c r="F40" s="342"/>
      <c r="G40" s="342"/>
    </row>
    <row r="41" spans="1:7" s="302" customFormat="1" ht="15.75">
      <c r="A41" s="1119"/>
      <c r="B41" s="351"/>
      <c r="C41" s="351"/>
      <c r="D41" s="351"/>
      <c r="E41" s="351"/>
      <c r="F41" s="351"/>
      <c r="G41" s="351"/>
    </row>
    <row r="42" spans="1:7" s="302" customFormat="1" ht="15.75">
      <c r="A42" s="351"/>
      <c r="B42" s="351"/>
      <c r="C42" s="351"/>
      <c r="D42" s="351"/>
      <c r="E42" s="351"/>
      <c r="F42" s="351"/>
      <c r="G42" s="351"/>
    </row>
    <row r="43" spans="1:7" s="302" customFormat="1" ht="15.75">
      <c r="A43" s="351"/>
      <c r="B43" s="351"/>
      <c r="C43" s="351"/>
      <c r="D43" s="351"/>
      <c r="E43" s="351"/>
      <c r="F43" s="351"/>
      <c r="G43" s="351"/>
    </row>
    <row r="44" spans="1:7" s="302" customFormat="1" ht="15.75">
      <c r="A44" s="351"/>
      <c r="B44" s="351"/>
      <c r="C44" s="351"/>
      <c r="D44" s="351"/>
      <c r="E44" s="351"/>
      <c r="F44" s="351"/>
      <c r="G44" s="351"/>
    </row>
    <row r="45" spans="1:7" s="302" customFormat="1" ht="15.75">
      <c r="A45" s="351"/>
      <c r="B45" s="351"/>
      <c r="C45" s="351"/>
      <c r="D45" s="351"/>
      <c r="E45" s="351"/>
      <c r="F45" s="351"/>
      <c r="G45" s="351"/>
    </row>
    <row r="46" spans="1:7" s="302" customFormat="1" ht="15.75">
      <c r="A46" s="351"/>
      <c r="B46" s="351"/>
      <c r="C46" s="351"/>
      <c r="D46" s="351"/>
      <c r="E46" s="351"/>
      <c r="F46" s="351"/>
      <c r="G46" s="351"/>
    </row>
    <row r="47" spans="1:7" s="302" customFormat="1" ht="15.75">
      <c r="A47" s="351"/>
      <c r="B47" s="351"/>
      <c r="C47" s="351"/>
      <c r="D47" s="351"/>
      <c r="E47" s="351"/>
      <c r="F47" s="351"/>
      <c r="G47" s="351"/>
    </row>
    <row r="48" spans="1:7" s="302" customFormat="1" ht="15.75">
      <c r="A48" s="351"/>
      <c r="B48" s="351"/>
      <c r="C48" s="351"/>
      <c r="D48" s="351"/>
      <c r="E48" s="351"/>
      <c r="F48" s="351"/>
      <c r="G48" s="351"/>
    </row>
    <row r="49" spans="1:7" s="302" customFormat="1" ht="15.75">
      <c r="A49" s="351"/>
      <c r="B49" s="351"/>
      <c r="C49" s="351"/>
      <c r="D49" s="351"/>
      <c r="E49" s="351"/>
      <c r="F49" s="351"/>
      <c r="G49" s="351"/>
    </row>
    <row r="50" spans="1:7" s="302" customFormat="1" ht="15.75">
      <c r="A50" s="351"/>
      <c r="B50" s="351"/>
      <c r="C50" s="351"/>
      <c r="D50" s="351"/>
      <c r="E50" s="351"/>
      <c r="F50" s="351"/>
      <c r="G50" s="351"/>
    </row>
    <row r="51" spans="1:7" s="302" customFormat="1" ht="15.75">
      <c r="A51" s="351"/>
      <c r="B51" s="351"/>
      <c r="C51" s="351"/>
      <c r="D51" s="351"/>
      <c r="E51" s="351"/>
      <c r="F51" s="351"/>
      <c r="G51" s="351"/>
    </row>
    <row r="52" spans="1:7" s="302" customFormat="1" ht="15.75">
      <c r="A52" s="351"/>
      <c r="B52" s="351"/>
      <c r="C52" s="351"/>
      <c r="D52" s="351"/>
      <c r="E52" s="351"/>
      <c r="F52" s="351"/>
      <c r="G52" s="351"/>
    </row>
    <row r="53" spans="1:7" s="302" customFormat="1" ht="15.75">
      <c r="A53" s="351"/>
      <c r="B53" s="351"/>
      <c r="C53" s="351"/>
      <c r="D53" s="351"/>
      <c r="E53" s="351"/>
      <c r="F53" s="351"/>
      <c r="G53" s="351"/>
    </row>
    <row r="54" spans="1:7" s="302" customFormat="1" ht="15.75">
      <c r="A54" s="351"/>
      <c r="B54" s="351"/>
      <c r="C54" s="351"/>
      <c r="D54" s="351"/>
      <c r="E54" s="351"/>
      <c r="F54" s="351"/>
      <c r="G54" s="351"/>
    </row>
    <row r="55" spans="1:7" s="302" customFormat="1" ht="25.5" customHeight="1">
      <c r="A55" s="342"/>
      <c r="B55" s="350" t="s">
        <v>2418</v>
      </c>
      <c r="C55" s="350"/>
      <c r="D55" s="1127" t="s">
        <v>2499</v>
      </c>
      <c r="E55" s="352"/>
      <c r="F55" s="352"/>
      <c r="G55" s="352"/>
    </row>
    <row r="56" spans="1:7" s="302" customFormat="1" ht="15.75">
      <c r="A56" s="342"/>
      <c r="B56" s="353"/>
      <c r="C56" s="353"/>
      <c r="D56" s="353"/>
      <c r="E56" s="353"/>
      <c r="F56" s="353"/>
      <c r="G56" s="353"/>
    </row>
    <row r="57" spans="1:7" s="302" customFormat="1" ht="15.75">
      <c r="A57" s="342"/>
      <c r="B57" s="352" t="s">
        <v>22</v>
      </c>
      <c r="C57" s="352"/>
      <c r="D57" s="352"/>
      <c r="E57" s="352"/>
      <c r="F57" s="352"/>
      <c r="G57" s="352"/>
    </row>
    <row r="58" spans="1:7" s="302" customFormat="1" ht="15.75">
      <c r="A58" s="342"/>
      <c r="B58" s="353"/>
      <c r="C58" s="353"/>
      <c r="D58" s="353"/>
      <c r="E58" s="353"/>
      <c r="F58" s="353"/>
      <c r="G58" s="353"/>
    </row>
    <row r="59" spans="1:7" s="302" customFormat="1" ht="15.75">
      <c r="A59" s="342"/>
      <c r="B59" s="352" t="s">
        <v>23</v>
      </c>
      <c r="C59" s="352"/>
      <c r="D59" s="352"/>
      <c r="E59" s="352"/>
      <c r="F59" s="352"/>
      <c r="G59" s="352"/>
    </row>
    <row r="60" spans="1:7" s="302" customFormat="1" ht="15.75">
      <c r="A60" s="342"/>
      <c r="B60" s="352" t="s">
        <v>24</v>
      </c>
      <c r="C60" s="352"/>
      <c r="D60" s="352"/>
      <c r="E60" s="352"/>
      <c r="F60" s="352"/>
      <c r="G60" s="352"/>
    </row>
    <row r="61" spans="1:7" s="303" customFormat="1" ht="15.75">
      <c r="A61" s="346"/>
      <c r="B61" s="346"/>
      <c r="E61" s="333"/>
    </row>
    <row r="62" spans="1:7" ht="15.75" customHeight="1">
      <c r="A62" s="1587" t="s">
        <v>2480</v>
      </c>
      <c r="B62" s="1587"/>
      <c r="C62" s="1587"/>
      <c r="D62" s="1587"/>
      <c r="E62" s="1587"/>
      <c r="F62" s="1587"/>
      <c r="G62" s="1587"/>
    </row>
    <row r="63" spans="1:7">
      <c r="A63" s="1587"/>
      <c r="B63" s="1587"/>
      <c r="C63" s="1587"/>
      <c r="D63" s="1587"/>
      <c r="E63" s="1587"/>
      <c r="F63" s="1587"/>
      <c r="G63" s="1587"/>
    </row>
    <row r="64" spans="1:7">
      <c r="A64" s="1587"/>
      <c r="B64" s="1587"/>
      <c r="C64" s="1587"/>
      <c r="D64" s="1587"/>
      <c r="E64" s="1587"/>
      <c r="F64" s="1587"/>
      <c r="G64" s="1587"/>
    </row>
    <row r="65" spans="1:7">
      <c r="A65" s="1587"/>
      <c r="B65" s="1587"/>
      <c r="C65" s="1587"/>
      <c r="D65" s="1587"/>
      <c r="E65" s="1587"/>
      <c r="F65" s="1587"/>
      <c r="G65" s="1587"/>
    </row>
    <row r="66" spans="1:7">
      <c r="A66" s="1587"/>
      <c r="B66" s="1587"/>
      <c r="C66" s="1587"/>
      <c r="D66" s="1587"/>
      <c r="E66" s="1587"/>
      <c r="F66" s="1587"/>
      <c r="G66" s="1587"/>
    </row>
    <row r="67" spans="1:7">
      <c r="A67" s="1587"/>
      <c r="B67" s="1587"/>
      <c r="C67" s="1587"/>
      <c r="D67" s="1587"/>
      <c r="E67" s="1587"/>
      <c r="F67" s="1587"/>
      <c r="G67" s="1587"/>
    </row>
    <row r="68" spans="1:7" ht="72" customHeight="1">
      <c r="A68" s="1587"/>
      <c r="B68" s="1587"/>
      <c r="C68" s="1587"/>
      <c r="D68" s="1587"/>
      <c r="E68" s="1587"/>
      <c r="F68" s="1587"/>
      <c r="G68" s="1587"/>
    </row>
  </sheetData>
  <mergeCells count="20">
    <mergeCell ref="A62:G68"/>
    <mergeCell ref="C16:C25"/>
    <mergeCell ref="H16:H25"/>
    <mergeCell ref="H7:H9"/>
    <mergeCell ref="A26:G26"/>
    <mergeCell ref="A16:A25"/>
    <mergeCell ref="B16:B25"/>
    <mergeCell ref="A1:H1"/>
    <mergeCell ref="A2:H2"/>
    <mergeCell ref="A4:A6"/>
    <mergeCell ref="B4:B6"/>
    <mergeCell ref="A10:A15"/>
    <mergeCell ref="B10:B15"/>
    <mergeCell ref="C10:C15"/>
    <mergeCell ref="H10:H15"/>
    <mergeCell ref="A7:A9"/>
    <mergeCell ref="B7:B9"/>
    <mergeCell ref="C4:C6"/>
    <mergeCell ref="H4:H6"/>
    <mergeCell ref="C7:C9"/>
  </mergeCells>
  <pageMargins left="0.7" right="0.7" top="0.75" bottom="0.75" header="0.3" footer="0.3"/>
  <pageSetup paperSize="9" scale="70" orientation="portrait" r:id="rId1"/>
  <headerFooter differentFirst="1">
    <oddHeader>&amp;C2&amp;RПродовження додатка</oddHeader>
  </headerFooter>
</worksheet>
</file>

<file path=xl/worksheets/sheet7.xml><?xml version="1.0" encoding="utf-8"?>
<worksheet xmlns="http://schemas.openxmlformats.org/spreadsheetml/2006/main" xmlns:r="http://schemas.openxmlformats.org/officeDocument/2006/relationships">
  <sheetPr>
    <tabColor rgb="FF00B050"/>
  </sheetPr>
  <dimension ref="A1:G89"/>
  <sheetViews>
    <sheetView topLeftCell="A63" workbookViewId="0">
      <selection activeCell="B80" sqref="B80"/>
    </sheetView>
  </sheetViews>
  <sheetFormatPr defaultRowHeight="18.75"/>
  <cols>
    <col min="1" max="1" width="9.140625" style="407"/>
    <col min="2" max="2" width="24.85546875" style="407" customWidth="1"/>
    <col min="3" max="3" width="11.5703125" style="408" customWidth="1"/>
    <col min="4" max="4" width="53.140625" style="408" customWidth="1"/>
    <col min="5" max="5" width="13.5703125" style="408" customWidth="1"/>
    <col min="6" max="6" width="13.42578125" style="409" customWidth="1"/>
    <col min="7" max="7" width="17.42578125" style="377" customWidth="1"/>
    <col min="8" max="16384" width="9.140625" style="401"/>
  </cols>
  <sheetData>
    <row r="1" spans="1:7" ht="80.25" customHeight="1">
      <c r="A1" s="1161" t="s">
        <v>1226</v>
      </c>
      <c r="B1" s="1162"/>
      <c r="C1" s="1162"/>
      <c r="D1" s="1162"/>
      <c r="E1" s="1162"/>
      <c r="F1" s="1162"/>
      <c r="G1" s="1163"/>
    </row>
    <row r="2" spans="1:7" ht="48.75" customHeight="1">
      <c r="A2" s="5" t="s">
        <v>434</v>
      </c>
      <c r="B2" s="5" t="s">
        <v>338</v>
      </c>
      <c r="C2" s="5" t="s">
        <v>771</v>
      </c>
      <c r="D2" s="5" t="s">
        <v>333</v>
      </c>
      <c r="E2" s="5" t="s">
        <v>337</v>
      </c>
      <c r="F2" s="5" t="s">
        <v>770</v>
      </c>
      <c r="G2" s="5" t="s">
        <v>82</v>
      </c>
    </row>
    <row r="3" spans="1:7" ht="49.5">
      <c r="A3" s="1164">
        <v>1</v>
      </c>
      <c r="B3" s="1165" t="s">
        <v>60</v>
      </c>
      <c r="C3" s="1166">
        <f>6/45</f>
        <v>0.13333333333333333</v>
      </c>
      <c r="D3" s="357" t="s">
        <v>1594</v>
      </c>
      <c r="E3" s="392">
        <f>2/10</f>
        <v>0.2</v>
      </c>
      <c r="F3" s="402"/>
      <c r="G3" s="360">
        <f>E3*F3</f>
        <v>0</v>
      </c>
    </row>
    <row r="4" spans="1:7" ht="49.5">
      <c r="A4" s="1164"/>
      <c r="B4" s="1165"/>
      <c r="C4" s="1166"/>
      <c r="D4" s="357" t="s">
        <v>370</v>
      </c>
      <c r="E4" s="392">
        <f>1/10</f>
        <v>0.1</v>
      </c>
      <c r="F4" s="402"/>
      <c r="G4" s="360">
        <f>E4*F4</f>
        <v>0</v>
      </c>
    </row>
    <row r="5" spans="1:7" ht="33">
      <c r="A5" s="1164"/>
      <c r="B5" s="1165"/>
      <c r="C5" s="1166"/>
      <c r="D5" s="357" t="s">
        <v>371</v>
      </c>
      <c r="E5" s="392">
        <f>3.5/10</f>
        <v>0.35</v>
      </c>
      <c r="F5" s="402"/>
      <c r="G5" s="360">
        <f>E5*F5</f>
        <v>0</v>
      </c>
    </row>
    <row r="6" spans="1:7" ht="49.5">
      <c r="A6" s="1164"/>
      <c r="B6" s="1165"/>
      <c r="C6" s="1166"/>
      <c r="D6" s="357" t="s">
        <v>372</v>
      </c>
      <c r="E6" s="392">
        <f>3.5/10</f>
        <v>0.35</v>
      </c>
      <c r="F6" s="402"/>
      <c r="G6" s="360">
        <f>E6*F6</f>
        <v>0</v>
      </c>
    </row>
    <row r="7" spans="1:7">
      <c r="A7" s="1164"/>
      <c r="B7" s="1165"/>
      <c r="C7" s="1166"/>
      <c r="D7" s="393"/>
      <c r="E7" s="394">
        <f>SUM(E3:E6)</f>
        <v>1</v>
      </c>
      <c r="F7" s="403"/>
      <c r="G7" s="404">
        <f>C3*SUM(G3:G6)</f>
        <v>0</v>
      </c>
    </row>
    <row r="8" spans="1:7" ht="16.5" customHeight="1">
      <c r="A8" s="1164">
        <v>2</v>
      </c>
      <c r="B8" s="1165" t="s">
        <v>1227</v>
      </c>
      <c r="C8" s="1166">
        <f>8.5/45</f>
        <v>0.18888888888888888</v>
      </c>
      <c r="D8" s="357" t="s">
        <v>374</v>
      </c>
      <c r="E8" s="358">
        <f>1/3</f>
        <v>0.33333333333333331</v>
      </c>
      <c r="F8" s="387"/>
      <c r="G8" s="360">
        <f>F8*E8</f>
        <v>0</v>
      </c>
    </row>
    <row r="9" spans="1:7">
      <c r="A9" s="1164"/>
      <c r="B9" s="1165"/>
      <c r="C9" s="1166"/>
      <c r="D9" s="357" t="s">
        <v>400</v>
      </c>
      <c r="E9" s="358">
        <f>2/3</f>
        <v>0.66666666666666663</v>
      </c>
      <c r="F9" s="387"/>
      <c r="G9" s="360">
        <f>F9*E9</f>
        <v>0</v>
      </c>
    </row>
    <row r="10" spans="1:7">
      <c r="A10" s="1164"/>
      <c r="B10" s="1165"/>
      <c r="C10" s="1166"/>
      <c r="D10" s="393"/>
      <c r="E10" s="405">
        <f>SUM(E8:E9)</f>
        <v>1</v>
      </c>
      <c r="F10" s="394"/>
      <c r="G10" s="404">
        <f>C8*SUM(G8:G9)</f>
        <v>0</v>
      </c>
    </row>
    <row r="11" spans="1:7" ht="16.5" customHeight="1">
      <c r="A11" s="1164">
        <v>3</v>
      </c>
      <c r="B11" s="1165" t="s">
        <v>401</v>
      </c>
      <c r="C11" s="1166">
        <f>8.5/45</f>
        <v>0.18888888888888888</v>
      </c>
      <c r="D11" s="357" t="s">
        <v>377</v>
      </c>
      <c r="E11" s="358">
        <f>3/6</f>
        <v>0.5</v>
      </c>
      <c r="F11" s="387"/>
      <c r="G11" s="360">
        <f>F11*E11</f>
        <v>0</v>
      </c>
    </row>
    <row r="12" spans="1:7">
      <c r="A12" s="1164"/>
      <c r="B12" s="1165"/>
      <c r="C12" s="1166"/>
      <c r="D12" s="357" t="s">
        <v>402</v>
      </c>
      <c r="E12" s="358">
        <f>1.5/6</f>
        <v>0.25</v>
      </c>
      <c r="F12" s="387"/>
      <c r="G12" s="360">
        <f>F12*E12</f>
        <v>0</v>
      </c>
    </row>
    <row r="13" spans="1:7" ht="49.5">
      <c r="A13" s="1164"/>
      <c r="B13" s="1165"/>
      <c r="C13" s="1166"/>
      <c r="D13" s="357" t="s">
        <v>1228</v>
      </c>
      <c r="E13" s="358">
        <f>1.5/6</f>
        <v>0.25</v>
      </c>
      <c r="F13" s="387"/>
      <c r="G13" s="360">
        <f>F13*E13</f>
        <v>0</v>
      </c>
    </row>
    <row r="14" spans="1:7">
      <c r="A14" s="1164"/>
      <c r="B14" s="1165"/>
      <c r="C14" s="1166"/>
      <c r="D14" s="395"/>
      <c r="E14" s="405">
        <f>SUM(E11:E13)</f>
        <v>1</v>
      </c>
      <c r="F14" s="394"/>
      <c r="G14" s="404">
        <f>SUM(G11:G13)*C11</f>
        <v>0</v>
      </c>
    </row>
    <row r="15" spans="1:7" ht="21.75" customHeight="1">
      <c r="A15" s="1164">
        <v>4</v>
      </c>
      <c r="B15" s="1165" t="s">
        <v>379</v>
      </c>
      <c r="C15" s="1166">
        <f>6/45</f>
        <v>0.13333333333333333</v>
      </c>
      <c r="D15" s="357" t="s">
        <v>1229</v>
      </c>
      <c r="E15" s="358">
        <f>1/6</f>
        <v>0.16666666666666666</v>
      </c>
      <c r="F15" s="387"/>
      <c r="G15" s="360">
        <f>F15*E15</f>
        <v>0</v>
      </c>
    </row>
    <row r="16" spans="1:7" ht="33">
      <c r="A16" s="1164"/>
      <c r="B16" s="1165"/>
      <c r="C16" s="1166"/>
      <c r="D16" s="357" t="s">
        <v>380</v>
      </c>
      <c r="E16" s="358">
        <f>3/6</f>
        <v>0.5</v>
      </c>
      <c r="F16" s="387"/>
      <c r="G16" s="360">
        <f>F16*E16</f>
        <v>0</v>
      </c>
    </row>
    <row r="17" spans="1:7">
      <c r="A17" s="1164"/>
      <c r="B17" s="1165"/>
      <c r="C17" s="1166"/>
      <c r="D17" s="357" t="s">
        <v>381</v>
      </c>
      <c r="E17" s="358">
        <f>2/6</f>
        <v>0.33333333333333331</v>
      </c>
      <c r="F17" s="387"/>
      <c r="G17" s="360">
        <f>F17*E17</f>
        <v>0</v>
      </c>
    </row>
    <row r="18" spans="1:7">
      <c r="A18" s="1164"/>
      <c r="B18" s="1165"/>
      <c r="C18" s="1166"/>
      <c r="D18" s="393"/>
      <c r="E18" s="405">
        <f>SUM(E15:E17)</f>
        <v>1</v>
      </c>
      <c r="F18" s="394"/>
      <c r="G18" s="404">
        <f>C15*SUM(G15:G17)</f>
        <v>0</v>
      </c>
    </row>
    <row r="19" spans="1:7" ht="16.5" customHeight="1">
      <c r="A19" s="1164">
        <v>5</v>
      </c>
      <c r="B19" s="1165" t="s">
        <v>1230</v>
      </c>
      <c r="C19" s="1166">
        <f>6/45</f>
        <v>0.13333333333333333</v>
      </c>
      <c r="D19" s="357" t="s">
        <v>403</v>
      </c>
      <c r="E19" s="358">
        <v>0.10714285714285714</v>
      </c>
      <c r="F19" s="387"/>
      <c r="G19" s="360">
        <f t="shared" ref="G19:G25" si="0">F19*E19</f>
        <v>0</v>
      </c>
    </row>
    <row r="20" spans="1:7" ht="32.25" customHeight="1">
      <c r="A20" s="1164"/>
      <c r="B20" s="1165"/>
      <c r="C20" s="1166"/>
      <c r="D20" s="357" t="s">
        <v>383</v>
      </c>
      <c r="E20" s="358">
        <f>6.5/28</f>
        <v>0.23214285714285715</v>
      </c>
      <c r="F20" s="387"/>
      <c r="G20" s="360">
        <f t="shared" si="0"/>
        <v>0</v>
      </c>
    </row>
    <row r="21" spans="1:7">
      <c r="A21" s="1164"/>
      <c r="B21" s="1165"/>
      <c r="C21" s="1166"/>
      <c r="D21" s="357" t="s">
        <v>1231</v>
      </c>
      <c r="E21" s="358">
        <f>4.5/28</f>
        <v>0.16071428571428573</v>
      </c>
      <c r="F21" s="387"/>
      <c r="G21" s="360">
        <f t="shared" si="0"/>
        <v>0</v>
      </c>
    </row>
    <row r="22" spans="1:7" ht="33">
      <c r="A22" s="1164"/>
      <c r="B22" s="1165"/>
      <c r="C22" s="1166"/>
      <c r="D22" s="357" t="s">
        <v>404</v>
      </c>
      <c r="E22" s="358">
        <f>6.5/28</f>
        <v>0.23214285714285715</v>
      </c>
      <c r="F22" s="387"/>
      <c r="G22" s="360">
        <f t="shared" si="0"/>
        <v>0</v>
      </c>
    </row>
    <row r="23" spans="1:7" ht="33">
      <c r="A23" s="1164"/>
      <c r="B23" s="1165"/>
      <c r="C23" s="1166"/>
      <c r="D23" s="357" t="s">
        <v>1232</v>
      </c>
      <c r="E23" s="358">
        <f>4.5/28</f>
        <v>0.16071428571428573</v>
      </c>
      <c r="F23" s="387"/>
      <c r="G23" s="360">
        <f t="shared" si="0"/>
        <v>0</v>
      </c>
    </row>
    <row r="24" spans="1:7" ht="21" customHeight="1">
      <c r="A24" s="1164"/>
      <c r="B24" s="1165"/>
      <c r="C24" s="1166"/>
      <c r="D24" s="396" t="s">
        <v>1233</v>
      </c>
      <c r="E24" s="358">
        <f>2/28</f>
        <v>7.1428571428571425E-2</v>
      </c>
      <c r="F24" s="402"/>
      <c r="G24" s="360">
        <f t="shared" si="0"/>
        <v>0</v>
      </c>
    </row>
    <row r="25" spans="1:7">
      <c r="A25" s="1164"/>
      <c r="B25" s="1165"/>
      <c r="C25" s="1166"/>
      <c r="D25" s="357" t="s">
        <v>405</v>
      </c>
      <c r="E25" s="358">
        <f>1/28</f>
        <v>3.5714285714285712E-2</v>
      </c>
      <c r="F25" s="387"/>
      <c r="G25" s="360">
        <f t="shared" si="0"/>
        <v>0</v>
      </c>
    </row>
    <row r="26" spans="1:7">
      <c r="A26" s="1164"/>
      <c r="B26" s="1165"/>
      <c r="C26" s="1166"/>
      <c r="D26" s="393"/>
      <c r="E26" s="405">
        <f>SUM(E19:E25)</f>
        <v>1</v>
      </c>
      <c r="F26" s="394"/>
      <c r="G26" s="404">
        <f>C19*SUM(G19:G25)</f>
        <v>0</v>
      </c>
    </row>
    <row r="27" spans="1:7" ht="20.25" customHeight="1">
      <c r="A27" s="1164">
        <v>6</v>
      </c>
      <c r="B27" s="1165" t="s">
        <v>387</v>
      </c>
      <c r="C27" s="1166">
        <f>4/45</f>
        <v>8.8888888888888892E-2</v>
      </c>
      <c r="D27" s="397" t="s">
        <v>388</v>
      </c>
      <c r="E27" s="358">
        <f>10.5/66</f>
        <v>0.15909090909090909</v>
      </c>
      <c r="F27" s="387"/>
      <c r="G27" s="360">
        <f>E27*F27</f>
        <v>0</v>
      </c>
    </row>
    <row r="28" spans="1:7" ht="34.5" customHeight="1">
      <c r="A28" s="1164"/>
      <c r="B28" s="1165"/>
      <c r="C28" s="1166"/>
      <c r="D28" s="397" t="s">
        <v>389</v>
      </c>
      <c r="E28" s="358">
        <f>8/66</f>
        <v>0.12121212121212122</v>
      </c>
      <c r="F28" s="387"/>
      <c r="G28" s="360">
        <f t="shared" ref="G28:G37" si="1">E28*F28</f>
        <v>0</v>
      </c>
    </row>
    <row r="29" spans="1:7" ht="35.25" customHeight="1">
      <c r="A29" s="1164"/>
      <c r="B29" s="1165"/>
      <c r="C29" s="1166"/>
      <c r="D29" s="397" t="s">
        <v>1234</v>
      </c>
      <c r="E29" s="358">
        <f>10.5/66</f>
        <v>0.15909090909090909</v>
      </c>
      <c r="F29" s="402"/>
      <c r="G29" s="360">
        <f t="shared" si="1"/>
        <v>0</v>
      </c>
    </row>
    <row r="30" spans="1:7" ht="33" customHeight="1">
      <c r="A30" s="1164"/>
      <c r="B30" s="1165"/>
      <c r="C30" s="1166"/>
      <c r="D30" s="398" t="s">
        <v>1235</v>
      </c>
      <c r="E30" s="358">
        <f>8/66</f>
        <v>0.12121212121212122</v>
      </c>
      <c r="F30" s="387"/>
      <c r="G30" s="360">
        <f t="shared" si="1"/>
        <v>0</v>
      </c>
    </row>
    <row r="31" spans="1:7" ht="33">
      <c r="A31" s="1164"/>
      <c r="B31" s="1165"/>
      <c r="C31" s="1166"/>
      <c r="D31" s="397" t="s">
        <v>1236</v>
      </c>
      <c r="E31" s="358">
        <f>5.5/66</f>
        <v>8.3333333333333329E-2</v>
      </c>
      <c r="F31" s="387"/>
      <c r="G31" s="360">
        <f t="shared" si="1"/>
        <v>0</v>
      </c>
    </row>
    <row r="32" spans="1:7" ht="37.5" customHeight="1">
      <c r="A32" s="1164"/>
      <c r="B32" s="1165"/>
      <c r="C32" s="1166"/>
      <c r="D32" s="397" t="s">
        <v>1237</v>
      </c>
      <c r="E32" s="358">
        <f>3.5/66</f>
        <v>5.3030303030303032E-2</v>
      </c>
      <c r="F32" s="387"/>
      <c r="G32" s="360">
        <f t="shared" si="1"/>
        <v>0</v>
      </c>
    </row>
    <row r="33" spans="1:7" ht="33">
      <c r="A33" s="1164"/>
      <c r="B33" s="1165"/>
      <c r="C33" s="1166"/>
      <c r="D33" s="397" t="s">
        <v>1238</v>
      </c>
      <c r="E33" s="358">
        <f>5.5/66</f>
        <v>8.3333333333333329E-2</v>
      </c>
      <c r="F33" s="387"/>
      <c r="G33" s="360">
        <f t="shared" si="1"/>
        <v>0</v>
      </c>
    </row>
    <row r="34" spans="1:7">
      <c r="A34" s="1164"/>
      <c r="B34" s="1165"/>
      <c r="C34" s="1166"/>
      <c r="D34" s="397" t="s">
        <v>393</v>
      </c>
      <c r="E34" s="358">
        <f>3.5/66</f>
        <v>5.3030303030303032E-2</v>
      </c>
      <c r="F34" s="387"/>
      <c r="G34" s="360">
        <f t="shared" si="1"/>
        <v>0</v>
      </c>
    </row>
    <row r="35" spans="1:7" ht="33">
      <c r="A35" s="1164"/>
      <c r="B35" s="1165"/>
      <c r="C35" s="1166"/>
      <c r="D35" s="397" t="s">
        <v>1239</v>
      </c>
      <c r="E35" s="358">
        <f>2/66</f>
        <v>3.0303030303030304E-2</v>
      </c>
      <c r="F35" s="387"/>
      <c r="G35" s="360">
        <f t="shared" si="1"/>
        <v>0</v>
      </c>
    </row>
    <row r="36" spans="1:7" ht="34.5" customHeight="1">
      <c r="A36" s="1164"/>
      <c r="B36" s="1165"/>
      <c r="C36" s="1166"/>
      <c r="D36" s="397" t="s">
        <v>1240</v>
      </c>
      <c r="E36" s="358">
        <f>1/66</f>
        <v>1.5151515151515152E-2</v>
      </c>
      <c r="F36" s="387"/>
      <c r="G36" s="360">
        <f t="shared" si="1"/>
        <v>0</v>
      </c>
    </row>
    <row r="37" spans="1:7" ht="33">
      <c r="A37" s="1164"/>
      <c r="B37" s="1165"/>
      <c r="C37" s="1166"/>
      <c r="D37" s="397" t="s">
        <v>1241</v>
      </c>
      <c r="E37" s="358">
        <f>8/66</f>
        <v>0.12121212121212122</v>
      </c>
      <c r="F37" s="387"/>
      <c r="G37" s="360">
        <f t="shared" si="1"/>
        <v>0</v>
      </c>
    </row>
    <row r="38" spans="1:7">
      <c r="A38" s="1164"/>
      <c r="B38" s="1165"/>
      <c r="C38" s="1166"/>
      <c r="D38" s="393"/>
      <c r="E38" s="405">
        <f>SUM(E27:E37)</f>
        <v>0.99999999999999989</v>
      </c>
      <c r="F38" s="394"/>
      <c r="G38" s="404">
        <f>C27*SUM(G27:G37)</f>
        <v>0</v>
      </c>
    </row>
    <row r="39" spans="1:7" ht="33" customHeight="1">
      <c r="A39" s="1164">
        <v>7</v>
      </c>
      <c r="B39" s="1165" t="s">
        <v>409</v>
      </c>
      <c r="C39" s="1166">
        <f>2/45</f>
        <v>4.4444444444444446E-2</v>
      </c>
      <c r="D39" s="357" t="s">
        <v>1242</v>
      </c>
      <c r="E39" s="358">
        <f>2/3</f>
        <v>0.66666666666666663</v>
      </c>
      <c r="F39" s="387"/>
      <c r="G39" s="360">
        <f>F39*E39</f>
        <v>0</v>
      </c>
    </row>
    <row r="40" spans="1:7" ht="33">
      <c r="A40" s="1164"/>
      <c r="B40" s="1165"/>
      <c r="C40" s="1166"/>
      <c r="D40" s="357" t="s">
        <v>410</v>
      </c>
      <c r="E40" s="358">
        <f>1/3</f>
        <v>0.33333333333333331</v>
      </c>
      <c r="F40" s="387"/>
      <c r="G40" s="360">
        <f>F40*E40</f>
        <v>0</v>
      </c>
    </row>
    <row r="41" spans="1:7">
      <c r="A41" s="1164"/>
      <c r="B41" s="1165"/>
      <c r="C41" s="1166"/>
      <c r="D41" s="393"/>
      <c r="E41" s="405">
        <f>SUM(E39:E40)</f>
        <v>1</v>
      </c>
      <c r="F41" s="394"/>
      <c r="G41" s="404">
        <f>C39*SUM(G39:G40)</f>
        <v>0</v>
      </c>
    </row>
    <row r="42" spans="1:7" ht="33" customHeight="1">
      <c r="A42" s="1164">
        <v>8</v>
      </c>
      <c r="B42" s="1165" t="s">
        <v>418</v>
      </c>
      <c r="C42" s="1166">
        <f>3/45</f>
        <v>6.6666666666666666E-2</v>
      </c>
      <c r="D42" s="357" t="s">
        <v>1063</v>
      </c>
      <c r="E42" s="358">
        <f>3.5/10</f>
        <v>0.35</v>
      </c>
      <c r="F42" s="387"/>
      <c r="G42" s="360">
        <f>F42*E42</f>
        <v>0</v>
      </c>
    </row>
    <row r="43" spans="1:7" ht="33.75" customHeight="1">
      <c r="A43" s="1164"/>
      <c r="B43" s="1165"/>
      <c r="C43" s="1166"/>
      <c r="D43" s="357" t="s">
        <v>1064</v>
      </c>
      <c r="E43" s="358">
        <f>3.5/10</f>
        <v>0.35</v>
      </c>
      <c r="F43" s="387"/>
      <c r="G43" s="360">
        <f>F43*E43</f>
        <v>0</v>
      </c>
    </row>
    <row r="44" spans="1:7" ht="33.75" customHeight="1">
      <c r="A44" s="1164"/>
      <c r="B44" s="1165"/>
      <c r="C44" s="1166"/>
      <c r="D44" s="357" t="s">
        <v>1065</v>
      </c>
      <c r="E44" s="358">
        <f>2/10</f>
        <v>0.2</v>
      </c>
      <c r="F44" s="387"/>
      <c r="G44" s="360">
        <f>F44*E44</f>
        <v>0</v>
      </c>
    </row>
    <row r="45" spans="1:7">
      <c r="A45" s="1164"/>
      <c r="B45" s="1165"/>
      <c r="C45" s="1166"/>
      <c r="D45" s="399" t="s">
        <v>1066</v>
      </c>
      <c r="E45" s="376">
        <f>1/10</f>
        <v>0.1</v>
      </c>
      <c r="F45" s="406"/>
      <c r="G45" s="360">
        <f>F45*E45</f>
        <v>0</v>
      </c>
    </row>
    <row r="46" spans="1:7" ht="16.5" customHeight="1">
      <c r="A46" s="1164"/>
      <c r="B46" s="1165"/>
      <c r="C46" s="1166"/>
      <c r="D46" s="393"/>
      <c r="E46" s="405">
        <f>SUM(E42:E45)</f>
        <v>0.99999999999999989</v>
      </c>
      <c r="F46" s="394"/>
      <c r="G46" s="404">
        <f>C42*SUM(G42:G45)</f>
        <v>0</v>
      </c>
    </row>
    <row r="47" spans="1:7" ht="31.5" customHeight="1">
      <c r="A47" s="1164">
        <v>9</v>
      </c>
      <c r="B47" s="1165" t="s">
        <v>1243</v>
      </c>
      <c r="C47" s="1166">
        <f>1/45</f>
        <v>2.2222222222222223E-2</v>
      </c>
      <c r="D47" s="357" t="s">
        <v>1244</v>
      </c>
      <c r="E47" s="358">
        <f>2/3</f>
        <v>0.66666666666666663</v>
      </c>
      <c r="F47" s="387"/>
      <c r="G47" s="360">
        <f>F47*E47</f>
        <v>0</v>
      </c>
    </row>
    <row r="48" spans="1:7" ht="33">
      <c r="A48" s="1164"/>
      <c r="B48" s="1165"/>
      <c r="C48" s="1166"/>
      <c r="D48" s="357" t="s">
        <v>1245</v>
      </c>
      <c r="E48" s="358">
        <f>1/3</f>
        <v>0.33333333333333331</v>
      </c>
      <c r="F48" s="387"/>
      <c r="G48" s="360">
        <f>F48*E48</f>
        <v>0</v>
      </c>
    </row>
    <row r="49" spans="1:7">
      <c r="A49" s="1164"/>
      <c r="B49" s="1165"/>
      <c r="C49" s="1166"/>
      <c r="D49" s="393"/>
      <c r="E49" s="400">
        <f>SUM(E47:E48)</f>
        <v>1</v>
      </c>
      <c r="F49" s="403"/>
      <c r="G49" s="405">
        <f>C47*SUM(G47:G48)</f>
        <v>0</v>
      </c>
    </row>
    <row r="50" spans="1:7" ht="23.25" customHeight="1">
      <c r="A50" s="1157" t="s">
        <v>443</v>
      </c>
      <c r="B50" s="1157"/>
      <c r="C50" s="1157"/>
      <c r="D50" s="1157"/>
      <c r="E50" s="1157"/>
      <c r="F50" s="358"/>
      <c r="G50" s="358">
        <f>G7+G10+G14+G18+G26+G38+G41+G46+G49</f>
        <v>0</v>
      </c>
    </row>
    <row r="51" spans="1:7" s="25" customFormat="1" ht="15.75">
      <c r="A51" s="26"/>
      <c r="B51" s="26" t="s">
        <v>444</v>
      </c>
      <c r="C51" s="10"/>
      <c r="D51" s="10"/>
      <c r="E51" s="11"/>
      <c r="F51" s="3"/>
      <c r="G51" s="21" t="str">
        <f>IF(G50&lt;=0.5,"низький",IF(G50&lt;=0.75,"середній",(IF(G50&lt;=0.95,"достатній",(IF(G50&lt;=1,"високий"))))))</f>
        <v>низький</v>
      </c>
    </row>
    <row r="52" spans="1:7" s="302" customFormat="1" ht="15.75">
      <c r="A52" s="288" t="s">
        <v>182</v>
      </c>
      <c r="B52" s="289"/>
      <c r="C52" s="342"/>
      <c r="E52" s="343"/>
      <c r="F52" s="344"/>
      <c r="G52" s="112"/>
    </row>
    <row r="53" spans="1:7" s="302" customFormat="1" ht="17.25">
      <c r="A53" s="345" t="s">
        <v>589</v>
      </c>
      <c r="B53" s="346"/>
      <c r="C53" s="347"/>
      <c r="D53" s="303"/>
      <c r="E53" s="348"/>
      <c r="F53" s="349"/>
      <c r="G53" s="112"/>
    </row>
    <row r="54" spans="1:7" s="302" customFormat="1" ht="17.25">
      <c r="A54" s="345" t="s">
        <v>590</v>
      </c>
      <c r="B54" s="346"/>
      <c r="C54" s="347"/>
      <c r="D54" s="303"/>
      <c r="E54" s="348"/>
      <c r="F54" s="349"/>
      <c r="G54" s="112"/>
    </row>
    <row r="55" spans="1:7" s="302" customFormat="1" ht="17.25">
      <c r="A55" s="345" t="s">
        <v>591</v>
      </c>
      <c r="B55" s="346"/>
      <c r="C55" s="347"/>
      <c r="D55" s="303"/>
      <c r="E55" s="348"/>
      <c r="F55" s="349"/>
      <c r="G55" s="112"/>
    </row>
    <row r="56" spans="1:7" s="302" customFormat="1" ht="17.25">
      <c r="A56" s="345" t="s">
        <v>592</v>
      </c>
      <c r="B56" s="346"/>
      <c r="C56" s="347"/>
      <c r="D56" s="303"/>
      <c r="E56" s="348"/>
      <c r="F56" s="349"/>
      <c r="G56" s="112"/>
    </row>
    <row r="57" spans="1:7" s="302" customFormat="1" ht="17.25">
      <c r="A57" s="345" t="s">
        <v>593</v>
      </c>
      <c r="B57" s="346"/>
      <c r="C57" s="347"/>
      <c r="D57" s="303"/>
      <c r="E57" s="348"/>
      <c r="F57" s="349"/>
      <c r="G57" s="112"/>
    </row>
    <row r="58" spans="1:7" s="302" customFormat="1" ht="17.25">
      <c r="A58" s="345" t="s">
        <v>594</v>
      </c>
      <c r="B58" s="346"/>
      <c r="C58" s="347"/>
      <c r="D58" s="303"/>
      <c r="E58" s="348"/>
      <c r="F58" s="349"/>
      <c r="G58" s="112"/>
    </row>
    <row r="59" spans="1:7" s="302" customFormat="1" ht="17.25">
      <c r="A59" s="345" t="s">
        <v>595</v>
      </c>
      <c r="B59" s="346"/>
      <c r="C59" s="347"/>
      <c r="D59" s="303"/>
      <c r="E59" s="348"/>
      <c r="F59" s="349"/>
      <c r="G59" s="112"/>
    </row>
    <row r="60" spans="1:7" s="302" customFormat="1" ht="15.75">
      <c r="A60" s="350" t="s">
        <v>596</v>
      </c>
      <c r="B60" s="346"/>
      <c r="C60" s="347"/>
      <c r="D60" s="303"/>
      <c r="E60" s="348"/>
      <c r="F60" s="349"/>
      <c r="G60" s="112"/>
    </row>
    <row r="61" spans="1:7" s="302" customFormat="1" ht="15.75">
      <c r="A61" s="345" t="s">
        <v>597</v>
      </c>
      <c r="B61" s="346"/>
      <c r="C61" s="347"/>
      <c r="D61" s="303"/>
      <c r="E61" s="348"/>
      <c r="F61" s="349"/>
      <c r="G61" s="112"/>
    </row>
    <row r="62" spans="1:7" s="302" customFormat="1" ht="15.75">
      <c r="A62" s="288" t="s">
        <v>792</v>
      </c>
      <c r="B62" s="346"/>
      <c r="C62" s="347"/>
      <c r="D62" s="303"/>
      <c r="E62" s="348"/>
      <c r="F62" s="349"/>
      <c r="G62" s="112"/>
    </row>
    <row r="63" spans="1:7" s="302" customFormat="1" ht="15.75">
      <c r="A63" s="288" t="s">
        <v>793</v>
      </c>
      <c r="B63" s="346"/>
      <c r="C63" s="347"/>
      <c r="D63" s="303"/>
      <c r="E63" s="348"/>
      <c r="F63" s="349"/>
      <c r="G63" s="112"/>
    </row>
    <row r="64" spans="1:7" s="302" customFormat="1" ht="15.75">
      <c r="A64" s="288" t="s">
        <v>794</v>
      </c>
      <c r="B64" s="346"/>
      <c r="C64" s="347"/>
      <c r="D64" s="303"/>
      <c r="E64" s="348"/>
      <c r="F64" s="349"/>
      <c r="G64" s="112"/>
    </row>
    <row r="65" spans="1:7" s="302" customFormat="1" ht="15.75">
      <c r="A65" s="342"/>
      <c r="B65" s="342" t="s">
        <v>20</v>
      </c>
      <c r="C65" s="342"/>
      <c r="D65" s="342"/>
      <c r="E65" s="342"/>
      <c r="F65" s="342"/>
      <c r="G65" s="342"/>
    </row>
    <row r="66" spans="1:7" s="302" customFormat="1" ht="15.75">
      <c r="A66" s="351"/>
      <c r="B66" s="351"/>
      <c r="C66" s="351"/>
      <c r="D66" s="351"/>
      <c r="E66" s="351"/>
      <c r="F66" s="351"/>
      <c r="G66" s="351"/>
    </row>
    <row r="67" spans="1:7" s="302" customFormat="1" ht="15.75">
      <c r="A67" s="351"/>
      <c r="B67" s="351"/>
      <c r="C67" s="351"/>
      <c r="D67" s="351"/>
      <c r="E67" s="351"/>
      <c r="F67" s="351"/>
      <c r="G67" s="351"/>
    </row>
    <row r="68" spans="1:7" s="302" customFormat="1" ht="15.75">
      <c r="A68" s="351"/>
      <c r="B68" s="351"/>
      <c r="C68" s="351"/>
      <c r="D68" s="351"/>
      <c r="E68" s="351"/>
      <c r="F68" s="351"/>
      <c r="G68" s="351"/>
    </row>
    <row r="69" spans="1:7" s="302" customFormat="1" ht="15.75">
      <c r="A69" s="351"/>
      <c r="B69" s="351"/>
      <c r="C69" s="351"/>
      <c r="D69" s="351"/>
      <c r="E69" s="351"/>
      <c r="F69" s="351"/>
      <c r="G69" s="351"/>
    </row>
    <row r="70" spans="1:7" s="302" customFormat="1" ht="15.75">
      <c r="A70" s="351"/>
      <c r="B70" s="351"/>
      <c r="C70" s="351"/>
      <c r="D70" s="351"/>
      <c r="E70" s="351"/>
      <c r="F70" s="351"/>
      <c r="G70" s="351"/>
    </row>
    <row r="71" spans="1:7" s="302" customFormat="1" ht="15.75">
      <c r="A71" s="351"/>
      <c r="B71" s="351"/>
      <c r="C71" s="351"/>
      <c r="D71" s="351"/>
      <c r="E71" s="351"/>
      <c r="F71" s="351"/>
      <c r="G71" s="351"/>
    </row>
    <row r="72" spans="1:7" s="302" customFormat="1" ht="15.75">
      <c r="A72" s="351"/>
      <c r="B72" s="351"/>
      <c r="C72" s="351"/>
      <c r="D72" s="351"/>
      <c r="E72" s="351"/>
      <c r="F72" s="351"/>
      <c r="G72" s="351"/>
    </row>
    <row r="73" spans="1:7" s="302" customFormat="1" ht="15.75">
      <c r="A73" s="351"/>
      <c r="B73" s="351"/>
      <c r="C73" s="351"/>
      <c r="D73" s="351"/>
      <c r="E73" s="351"/>
      <c r="F73" s="351"/>
      <c r="G73" s="351"/>
    </row>
    <row r="74" spans="1:7" s="302" customFormat="1" ht="15.75">
      <c r="A74" s="351"/>
      <c r="B74" s="351"/>
      <c r="C74" s="351"/>
      <c r="D74" s="351"/>
      <c r="E74" s="351"/>
      <c r="F74" s="351"/>
      <c r="G74" s="351"/>
    </row>
    <row r="75" spans="1:7" s="302" customFormat="1" ht="15.75">
      <c r="A75" s="351"/>
      <c r="B75" s="351"/>
      <c r="C75" s="351"/>
      <c r="D75" s="351"/>
      <c r="E75" s="351"/>
      <c r="F75" s="351"/>
      <c r="G75" s="351"/>
    </row>
    <row r="76" spans="1:7" s="302" customFormat="1" ht="15.75">
      <c r="A76" s="351"/>
      <c r="B76" s="351"/>
      <c r="C76" s="351"/>
      <c r="D76" s="351"/>
      <c r="E76" s="351"/>
      <c r="F76" s="351"/>
      <c r="G76" s="351"/>
    </row>
    <row r="77" spans="1:7" s="302" customFormat="1" ht="15.75">
      <c r="A77" s="351"/>
      <c r="B77" s="351"/>
      <c r="C77" s="351"/>
      <c r="D77" s="351"/>
      <c r="E77" s="351"/>
      <c r="F77" s="351"/>
      <c r="G77" s="351"/>
    </row>
    <row r="78" spans="1:7" s="302" customFormat="1" ht="15.75">
      <c r="A78" s="351"/>
      <c r="B78" s="351"/>
      <c r="C78" s="351"/>
      <c r="D78" s="351"/>
      <c r="E78" s="351"/>
      <c r="F78" s="351"/>
      <c r="G78" s="351"/>
    </row>
    <row r="79" spans="1:7" s="302" customFormat="1" ht="15.75">
      <c r="A79" s="351"/>
      <c r="B79" s="351"/>
      <c r="C79" s="351"/>
      <c r="D79" s="351"/>
      <c r="E79" s="351"/>
      <c r="F79" s="351"/>
      <c r="G79" s="351"/>
    </row>
    <row r="80" spans="1:7" s="302" customFormat="1" ht="15.75">
      <c r="A80" s="342"/>
      <c r="B80" s="352" t="s">
        <v>2418</v>
      </c>
      <c r="C80" s="352"/>
      <c r="D80" s="352"/>
      <c r="E80" s="352"/>
      <c r="F80" s="352"/>
      <c r="G80" s="352"/>
    </row>
    <row r="81" spans="1:7" s="302" customFormat="1" ht="15.75">
      <c r="A81" s="342"/>
      <c r="B81" s="353"/>
      <c r="C81" s="353"/>
      <c r="D81" s="353"/>
      <c r="E81" s="353"/>
      <c r="F81" s="353"/>
      <c r="G81" s="353"/>
    </row>
    <row r="82" spans="1:7" s="302" customFormat="1" ht="15.75">
      <c r="A82" s="342"/>
      <c r="B82" s="352" t="s">
        <v>22</v>
      </c>
      <c r="C82" s="352"/>
      <c r="D82" s="352"/>
      <c r="E82" s="352"/>
      <c r="F82" s="352"/>
      <c r="G82" s="352"/>
    </row>
    <row r="83" spans="1:7" s="302" customFormat="1" ht="15.75">
      <c r="A83" s="342"/>
      <c r="B83" s="353"/>
      <c r="C83" s="353"/>
      <c r="D83" s="353"/>
      <c r="E83" s="353"/>
      <c r="F83" s="353"/>
      <c r="G83" s="353"/>
    </row>
    <row r="84" spans="1:7" s="302" customFormat="1" ht="15.75">
      <c r="A84" s="342"/>
      <c r="B84" s="352" t="s">
        <v>23</v>
      </c>
      <c r="C84" s="352"/>
      <c r="D84" s="352"/>
      <c r="E84" s="352"/>
      <c r="F84" s="352"/>
      <c r="G84" s="352"/>
    </row>
    <row r="85" spans="1:7" s="302" customFormat="1" ht="15.75">
      <c r="A85" s="342"/>
      <c r="B85" s="352" t="s">
        <v>24</v>
      </c>
      <c r="C85" s="352"/>
      <c r="D85" s="352"/>
      <c r="E85" s="352"/>
      <c r="F85" s="352"/>
      <c r="G85" s="352"/>
    </row>
    <row r="86" spans="1:7" s="303" customFormat="1" ht="15.75">
      <c r="A86" s="346"/>
      <c r="B86" s="346"/>
      <c r="E86" s="333"/>
    </row>
    <row r="87" spans="1:7" s="101" customFormat="1" ht="15.75">
      <c r="A87" s="290"/>
      <c r="B87" s="289"/>
      <c r="C87" s="63"/>
      <c r="E87" s="63"/>
    </row>
    <row r="88" spans="1:7" s="101" customFormat="1" ht="15.75">
      <c r="A88" s="290"/>
      <c r="B88" s="289"/>
      <c r="C88" s="63"/>
      <c r="E88" s="63"/>
    </row>
    <row r="89" spans="1:7" s="101" customFormat="1" ht="15.75">
      <c r="A89" s="290"/>
      <c r="B89" s="289"/>
      <c r="C89" s="63"/>
      <c r="E89" s="63"/>
    </row>
  </sheetData>
  <mergeCells count="29">
    <mergeCell ref="A8:A10"/>
    <mergeCell ref="B8:B10"/>
    <mergeCell ref="C8:C10"/>
    <mergeCell ref="A1:G1"/>
    <mergeCell ref="A3:A7"/>
    <mergeCell ref="B3:B7"/>
    <mergeCell ref="C3:C7"/>
    <mergeCell ref="A11:A14"/>
    <mergeCell ref="B11:B14"/>
    <mergeCell ref="C11:C14"/>
    <mergeCell ref="A15:A18"/>
    <mergeCell ref="B15:B18"/>
    <mergeCell ref="C15:C18"/>
    <mergeCell ref="A19:A26"/>
    <mergeCell ref="B19:B26"/>
    <mergeCell ref="C19:C26"/>
    <mergeCell ref="A27:A38"/>
    <mergeCell ref="B27:B38"/>
    <mergeCell ref="C27:C38"/>
    <mergeCell ref="A47:A49"/>
    <mergeCell ref="B47:B49"/>
    <mergeCell ref="C47:C49"/>
    <mergeCell ref="A50:E50"/>
    <mergeCell ref="A39:A41"/>
    <mergeCell ref="B39:B41"/>
    <mergeCell ref="C39:C41"/>
    <mergeCell ref="A42:A46"/>
    <mergeCell ref="B42:B46"/>
    <mergeCell ref="C42:C46"/>
  </mergeCells>
  <phoneticPr fontId="4" type="noConversion"/>
  <pageMargins left="0.7" right="0.7" top="0.75" bottom="0.75" header="0.3" footer="0.3"/>
  <pageSetup paperSize="9" scale="60"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H145"/>
  <sheetViews>
    <sheetView zoomScale="90" zoomScaleNormal="90" workbookViewId="0">
      <selection activeCell="D6" sqref="D6"/>
    </sheetView>
  </sheetViews>
  <sheetFormatPr defaultRowHeight="15.75"/>
  <cols>
    <col min="1" max="1" width="7" style="104" bestFit="1" customWidth="1"/>
    <col min="2" max="2" width="20.85546875" style="107" customWidth="1"/>
    <col min="3" max="3" width="13.28515625" style="104" customWidth="1"/>
    <col min="4" max="4" width="40.42578125" style="8" customWidth="1"/>
    <col min="5" max="5" width="16.42578125" style="108" customWidth="1"/>
    <col min="6" max="6" width="17.7109375" style="104" customWidth="1"/>
    <col min="7" max="7" width="12.7109375" style="104" customWidth="1"/>
    <col min="8" max="16384" width="9.140625" style="104"/>
  </cols>
  <sheetData>
    <row r="1" spans="1:7" ht="15.75" customHeight="1">
      <c r="A1" s="1132" t="s">
        <v>446</v>
      </c>
      <c r="B1" s="1132"/>
      <c r="C1" s="1132"/>
      <c r="D1" s="1132"/>
      <c r="E1" s="1132"/>
      <c r="F1" s="1132"/>
      <c r="G1" s="1132"/>
    </row>
    <row r="2" spans="1:7" ht="76.5" customHeight="1">
      <c r="A2" s="1132" t="s">
        <v>44</v>
      </c>
      <c r="B2" s="1132"/>
      <c r="C2" s="1132"/>
      <c r="D2" s="1132"/>
      <c r="E2" s="1132"/>
      <c r="F2" s="1132"/>
      <c r="G2" s="1132"/>
    </row>
    <row r="4" spans="1:7" ht="63">
      <c r="A4" s="5" t="s">
        <v>434</v>
      </c>
      <c r="B4" s="5" t="s">
        <v>338</v>
      </c>
      <c r="C4" s="5" t="s">
        <v>771</v>
      </c>
      <c r="D4" s="5" t="s">
        <v>333</v>
      </c>
      <c r="E4" s="5" t="s">
        <v>337</v>
      </c>
      <c r="F4" s="5" t="s">
        <v>770</v>
      </c>
      <c r="G4" s="5" t="s">
        <v>82</v>
      </c>
    </row>
    <row r="5" spans="1:7" ht="63">
      <c r="A5" s="9" t="s">
        <v>625</v>
      </c>
      <c r="B5" s="26" t="s">
        <v>445</v>
      </c>
      <c r="C5" s="10"/>
      <c r="D5" s="10" t="s">
        <v>1079</v>
      </c>
      <c r="E5" s="11">
        <v>0.33</v>
      </c>
      <c r="F5" s="1"/>
      <c r="G5" s="11">
        <f>F5*E5</f>
        <v>0</v>
      </c>
    </row>
    <row r="6" spans="1:7" ht="252">
      <c r="A6" s="9"/>
      <c r="B6" s="26"/>
      <c r="C6" s="60"/>
      <c r="D6" s="10" t="s">
        <v>417</v>
      </c>
      <c r="E6" s="11">
        <v>0.67</v>
      </c>
      <c r="F6" s="1"/>
      <c r="G6" s="11">
        <f t="shared" ref="G6:G47" si="0">F6*E6</f>
        <v>0</v>
      </c>
    </row>
    <row r="7" spans="1:7">
      <c r="A7" s="41"/>
      <c r="B7" s="28" t="s">
        <v>848</v>
      </c>
      <c r="C7" s="29">
        <v>0.04</v>
      </c>
      <c r="D7" s="32"/>
      <c r="E7" s="29">
        <f>SUM(E5:E6)</f>
        <v>1</v>
      </c>
      <c r="F7" s="29" t="s">
        <v>46</v>
      </c>
      <c r="G7" s="29">
        <f>SUM(G5:G6)*C7</f>
        <v>0</v>
      </c>
    </row>
    <row r="8" spans="1:7" ht="31.5">
      <c r="A8" s="9" t="s">
        <v>626</v>
      </c>
      <c r="B8" s="26" t="s">
        <v>63</v>
      </c>
      <c r="C8" s="10"/>
      <c r="D8" s="12" t="s">
        <v>1084</v>
      </c>
      <c r="E8" s="11">
        <v>0.67</v>
      </c>
      <c r="F8" s="1"/>
      <c r="G8" s="11">
        <f t="shared" si="0"/>
        <v>0</v>
      </c>
    </row>
    <row r="9" spans="1:7" ht="47.25">
      <c r="A9" s="9"/>
      <c r="B9" s="26"/>
      <c r="C9" s="10"/>
      <c r="D9" s="12" t="s">
        <v>1085</v>
      </c>
      <c r="E9" s="11">
        <v>0.33</v>
      </c>
      <c r="F9" s="1"/>
      <c r="G9" s="11">
        <f t="shared" si="0"/>
        <v>0</v>
      </c>
    </row>
    <row r="10" spans="1:7">
      <c r="A10" s="41"/>
      <c r="B10" s="28" t="s">
        <v>848</v>
      </c>
      <c r="C10" s="29">
        <v>0.04</v>
      </c>
      <c r="D10" s="32"/>
      <c r="E10" s="29">
        <f>SUM(E8:E9)</f>
        <v>1</v>
      </c>
      <c r="F10" s="29" t="s">
        <v>47</v>
      </c>
      <c r="G10" s="29">
        <f>SUM(G8:G9)*C10</f>
        <v>0</v>
      </c>
    </row>
    <row r="11" spans="1:7" ht="31.5">
      <c r="A11" s="9" t="s">
        <v>627</v>
      </c>
      <c r="B11" s="26" t="s">
        <v>64</v>
      </c>
      <c r="C11" s="10"/>
      <c r="D11" s="12" t="s">
        <v>1086</v>
      </c>
      <c r="E11" s="11">
        <v>0.13</v>
      </c>
      <c r="F11" s="1"/>
      <c r="G11" s="11">
        <f t="shared" si="0"/>
        <v>0</v>
      </c>
    </row>
    <row r="12" spans="1:7" ht="31.5">
      <c r="A12" s="9"/>
      <c r="B12" s="26"/>
      <c r="C12" s="10"/>
      <c r="D12" s="12" t="s">
        <v>1084</v>
      </c>
      <c r="E12" s="11">
        <v>0.35</v>
      </c>
      <c r="F12" s="1"/>
      <c r="G12" s="11">
        <f t="shared" si="0"/>
        <v>0</v>
      </c>
    </row>
    <row r="13" spans="1:7" ht="47.25">
      <c r="A13" s="9"/>
      <c r="B13" s="26"/>
      <c r="C13" s="10"/>
      <c r="D13" s="12" t="s">
        <v>1087</v>
      </c>
      <c r="E13" s="11">
        <v>0.27</v>
      </c>
      <c r="F13" s="1"/>
      <c r="G13" s="11">
        <f t="shared" si="0"/>
        <v>0</v>
      </c>
    </row>
    <row r="14" spans="1:7" ht="31.5">
      <c r="A14" s="9"/>
      <c r="B14" s="26"/>
      <c r="C14" s="10"/>
      <c r="D14" s="12" t="s">
        <v>1088</v>
      </c>
      <c r="E14" s="11">
        <v>0.18</v>
      </c>
      <c r="F14" s="1"/>
      <c r="G14" s="11">
        <f t="shared" si="0"/>
        <v>0</v>
      </c>
    </row>
    <row r="15" spans="1:7" ht="47.25">
      <c r="A15" s="9"/>
      <c r="B15" s="26"/>
      <c r="C15" s="10"/>
      <c r="D15" s="12" t="s">
        <v>1089</v>
      </c>
      <c r="E15" s="11">
        <v>7.0000000000000007E-2</v>
      </c>
      <c r="F15" s="1"/>
      <c r="G15" s="11">
        <f t="shared" si="0"/>
        <v>0</v>
      </c>
    </row>
    <row r="16" spans="1:7">
      <c r="A16" s="41"/>
      <c r="B16" s="28" t="s">
        <v>848</v>
      </c>
      <c r="C16" s="29">
        <v>0.06</v>
      </c>
      <c r="D16" s="32"/>
      <c r="E16" s="29">
        <f>SUM(E11:E15)</f>
        <v>1</v>
      </c>
      <c r="F16" s="29" t="s">
        <v>48</v>
      </c>
      <c r="G16" s="29">
        <f>SUM(G11:G15)*C16</f>
        <v>0</v>
      </c>
    </row>
    <row r="17" spans="1:8" ht="63">
      <c r="A17" s="9" t="s">
        <v>628</v>
      </c>
      <c r="B17" s="26" t="s">
        <v>45</v>
      </c>
      <c r="C17" s="10"/>
      <c r="D17" s="13" t="s">
        <v>1090</v>
      </c>
      <c r="E17" s="11">
        <v>0.28000000000000003</v>
      </c>
      <c r="F17" s="1"/>
      <c r="G17" s="11">
        <f t="shared" si="0"/>
        <v>0</v>
      </c>
    </row>
    <row r="18" spans="1:8" ht="110.25">
      <c r="A18" s="9"/>
      <c r="B18" s="26"/>
      <c r="C18" s="10"/>
      <c r="D18" s="12" t="s">
        <v>1177</v>
      </c>
      <c r="E18" s="11">
        <v>0.35</v>
      </c>
      <c r="F18" s="1"/>
      <c r="G18" s="11">
        <f t="shared" si="0"/>
        <v>0</v>
      </c>
    </row>
    <row r="19" spans="1:8" ht="63">
      <c r="A19" s="9"/>
      <c r="B19" s="26"/>
      <c r="C19" s="10"/>
      <c r="D19" s="12" t="s">
        <v>1092</v>
      </c>
      <c r="E19" s="11">
        <v>0.13</v>
      </c>
      <c r="F19" s="1"/>
      <c r="G19" s="11">
        <f t="shared" si="0"/>
        <v>0</v>
      </c>
    </row>
    <row r="20" spans="1:8" ht="47.25">
      <c r="A20" s="9"/>
      <c r="B20" s="26"/>
      <c r="C20" s="10"/>
      <c r="D20" s="12" t="s">
        <v>1093</v>
      </c>
      <c r="E20" s="11">
        <v>0.12</v>
      </c>
      <c r="F20" s="1"/>
      <c r="G20" s="11">
        <f t="shared" si="0"/>
        <v>0</v>
      </c>
    </row>
    <row r="21" spans="1:8" ht="47.25">
      <c r="A21" s="9"/>
      <c r="B21" s="26"/>
      <c r="C21" s="10"/>
      <c r="D21" s="12" t="s">
        <v>1094</v>
      </c>
      <c r="E21" s="11">
        <v>0.12</v>
      </c>
      <c r="F21" s="1"/>
      <c r="G21" s="11">
        <f t="shared" si="0"/>
        <v>0</v>
      </c>
    </row>
    <row r="22" spans="1:8">
      <c r="A22" s="41"/>
      <c r="B22" s="28" t="s">
        <v>848</v>
      </c>
      <c r="C22" s="29">
        <v>0.09</v>
      </c>
      <c r="D22" s="32"/>
      <c r="E22" s="29">
        <f>SUM(E17:E21)</f>
        <v>1</v>
      </c>
      <c r="F22" s="29" t="s">
        <v>49</v>
      </c>
      <c r="G22" s="29">
        <f>SUM(G17:G21)*C22</f>
        <v>0</v>
      </c>
    </row>
    <row r="23" spans="1:8" ht="78.75">
      <c r="A23" s="9" t="s">
        <v>629</v>
      </c>
      <c r="B23" s="26" t="s">
        <v>72</v>
      </c>
      <c r="C23" s="10"/>
      <c r="D23" s="12" t="s">
        <v>1178</v>
      </c>
      <c r="E23" s="51">
        <v>0.14000000000000001</v>
      </c>
      <c r="F23" s="1"/>
      <c r="G23" s="11">
        <f t="shared" si="0"/>
        <v>0</v>
      </c>
      <c r="H23" s="52"/>
    </row>
    <row r="24" spans="1:8" ht="47.25">
      <c r="A24" s="9"/>
      <c r="B24" s="26"/>
      <c r="C24" s="10"/>
      <c r="D24" s="12" t="s">
        <v>1179</v>
      </c>
      <c r="E24" s="51">
        <v>0.14000000000000001</v>
      </c>
      <c r="F24" s="1"/>
      <c r="G24" s="11">
        <f t="shared" si="0"/>
        <v>0</v>
      </c>
      <c r="H24" s="52"/>
    </row>
    <row r="25" spans="1:8" ht="63">
      <c r="A25" s="9"/>
      <c r="B25" s="26"/>
      <c r="C25" s="10"/>
      <c r="D25" s="12" t="s">
        <v>662</v>
      </c>
      <c r="E25" s="51">
        <v>0.1</v>
      </c>
      <c r="F25" s="1"/>
      <c r="G25" s="11">
        <f t="shared" si="0"/>
        <v>0</v>
      </c>
      <c r="H25" s="52"/>
    </row>
    <row r="26" spans="1:8" ht="63">
      <c r="A26" s="9"/>
      <c r="B26" s="26"/>
      <c r="C26" s="10"/>
      <c r="D26" s="12" t="s">
        <v>1097</v>
      </c>
      <c r="E26" s="51">
        <v>0.24</v>
      </c>
      <c r="F26" s="1"/>
      <c r="G26" s="11">
        <f t="shared" si="0"/>
        <v>0</v>
      </c>
      <c r="H26" s="52"/>
    </row>
    <row r="27" spans="1:8" ht="63">
      <c r="A27" s="9"/>
      <c r="B27" s="26"/>
      <c r="C27" s="10"/>
      <c r="D27" s="12" t="s">
        <v>415</v>
      </c>
      <c r="E27" s="51">
        <v>0.1</v>
      </c>
      <c r="F27" s="1"/>
      <c r="G27" s="11">
        <f t="shared" si="0"/>
        <v>0</v>
      </c>
      <c r="H27" s="52"/>
    </row>
    <row r="28" spans="1:8" ht="47.25">
      <c r="A28" s="9"/>
      <c r="B28" s="26"/>
      <c r="C28" s="10"/>
      <c r="D28" s="14" t="s">
        <v>1180</v>
      </c>
      <c r="E28" s="51">
        <v>0.28999999999999998</v>
      </c>
      <c r="F28" s="1"/>
      <c r="G28" s="11">
        <f t="shared" si="0"/>
        <v>0</v>
      </c>
      <c r="H28" s="52"/>
    </row>
    <row r="29" spans="1:8">
      <c r="A29" s="41"/>
      <c r="B29" s="28" t="s">
        <v>848</v>
      </c>
      <c r="C29" s="29">
        <v>7.0000000000000007E-2</v>
      </c>
      <c r="D29" s="32"/>
      <c r="E29" s="29">
        <f>SUM(E23:E27)</f>
        <v>0.72</v>
      </c>
      <c r="F29" s="29" t="s">
        <v>50</v>
      </c>
      <c r="G29" s="29">
        <f>SUM(G23:G28)*C29</f>
        <v>0</v>
      </c>
    </row>
    <row r="30" spans="1:8" ht="110.25">
      <c r="A30" s="9" t="s">
        <v>630</v>
      </c>
      <c r="B30" s="26" t="s">
        <v>65</v>
      </c>
      <c r="C30" s="10"/>
      <c r="D30" s="12" t="s">
        <v>1098</v>
      </c>
      <c r="E30" s="51">
        <v>0.22</v>
      </c>
      <c r="F30" s="1"/>
      <c r="G30" s="11">
        <f t="shared" si="0"/>
        <v>0</v>
      </c>
    </row>
    <row r="31" spans="1:8" ht="47.25">
      <c r="A31" s="9"/>
      <c r="B31" s="26"/>
      <c r="C31" s="10"/>
      <c r="D31" s="14" t="s">
        <v>1099</v>
      </c>
      <c r="E31" s="51">
        <v>0.11</v>
      </c>
      <c r="F31" s="1"/>
      <c r="G31" s="11">
        <f t="shared" si="0"/>
        <v>0</v>
      </c>
    </row>
    <row r="32" spans="1:8" ht="47.25">
      <c r="A32" s="9"/>
      <c r="B32" s="26"/>
      <c r="C32" s="10"/>
      <c r="D32" s="14" t="s">
        <v>1100</v>
      </c>
      <c r="E32" s="51">
        <v>0.14000000000000001</v>
      </c>
      <c r="F32" s="1"/>
      <c r="G32" s="11">
        <f t="shared" si="0"/>
        <v>0</v>
      </c>
    </row>
    <row r="33" spans="1:7" ht="94.5">
      <c r="A33" s="9"/>
      <c r="B33" s="26"/>
      <c r="C33" s="10"/>
      <c r="D33" s="14" t="s">
        <v>1101</v>
      </c>
      <c r="E33" s="51">
        <v>0.14000000000000001</v>
      </c>
      <c r="F33" s="1"/>
      <c r="G33" s="11">
        <f t="shared" si="0"/>
        <v>0</v>
      </c>
    </row>
    <row r="34" spans="1:7" ht="47.25">
      <c r="A34" s="9"/>
      <c r="B34" s="26"/>
      <c r="C34" s="10"/>
      <c r="D34" s="14" t="s">
        <v>1102</v>
      </c>
      <c r="E34" s="51">
        <v>0.11</v>
      </c>
      <c r="F34" s="1"/>
      <c r="G34" s="11">
        <f t="shared" si="0"/>
        <v>0</v>
      </c>
    </row>
    <row r="35" spans="1:7" ht="47.25">
      <c r="A35" s="9"/>
      <c r="B35" s="26"/>
      <c r="C35" s="10"/>
      <c r="D35" s="14" t="s">
        <v>857</v>
      </c>
      <c r="E35" s="51">
        <v>0.18</v>
      </c>
      <c r="F35" s="1"/>
      <c r="G35" s="11">
        <f t="shared" si="0"/>
        <v>0</v>
      </c>
    </row>
    <row r="36" spans="1:7" ht="47.25">
      <c r="A36" s="9"/>
      <c r="B36" s="26"/>
      <c r="C36" s="10"/>
      <c r="D36" s="14" t="s">
        <v>1104</v>
      </c>
      <c r="E36" s="51">
        <v>0.1</v>
      </c>
      <c r="F36" s="1"/>
      <c r="G36" s="11">
        <f t="shared" si="0"/>
        <v>0</v>
      </c>
    </row>
    <row r="37" spans="1:7">
      <c r="A37" s="41"/>
      <c r="B37" s="28" t="s">
        <v>848</v>
      </c>
      <c r="C37" s="29">
        <v>7.0000000000000007E-2</v>
      </c>
      <c r="D37" s="32"/>
      <c r="E37" s="29">
        <f>SUM(E30:E36)</f>
        <v>1.0000000000000002</v>
      </c>
      <c r="F37" s="29" t="s">
        <v>51</v>
      </c>
      <c r="G37" s="29">
        <f>SUM(G30:G36)*C37</f>
        <v>0</v>
      </c>
    </row>
    <row r="38" spans="1:7" ht="204.75">
      <c r="A38" s="9" t="s">
        <v>908</v>
      </c>
      <c r="B38" s="26" t="s">
        <v>436</v>
      </c>
      <c r="C38" s="11"/>
      <c r="D38" s="12" t="s">
        <v>1181</v>
      </c>
      <c r="E38" s="51">
        <v>0.04</v>
      </c>
      <c r="F38" s="1"/>
      <c r="G38" s="11">
        <f t="shared" si="0"/>
        <v>0</v>
      </c>
    </row>
    <row r="39" spans="1:7" ht="78.75">
      <c r="A39" s="9"/>
      <c r="B39" s="26"/>
      <c r="C39" s="11"/>
      <c r="D39" s="14" t="s">
        <v>856</v>
      </c>
      <c r="E39" s="51">
        <v>0.09</v>
      </c>
      <c r="F39" s="1"/>
      <c r="G39" s="11">
        <f t="shared" si="0"/>
        <v>0</v>
      </c>
    </row>
    <row r="40" spans="1:7" ht="141.75">
      <c r="A40" s="9"/>
      <c r="B40" s="26"/>
      <c r="C40" s="11"/>
      <c r="D40" s="12" t="s">
        <v>1578</v>
      </c>
      <c r="E40" s="51">
        <v>7.0000000000000007E-2</v>
      </c>
      <c r="F40" s="1"/>
      <c r="G40" s="11">
        <f t="shared" si="0"/>
        <v>0</v>
      </c>
    </row>
    <row r="41" spans="1:7" ht="157.5">
      <c r="A41" s="9"/>
      <c r="B41" s="26"/>
      <c r="C41" s="11"/>
      <c r="D41" s="12" t="s">
        <v>1576</v>
      </c>
      <c r="E41" s="51">
        <v>0.05</v>
      </c>
      <c r="F41" s="1"/>
      <c r="G41" s="11">
        <f t="shared" si="0"/>
        <v>0</v>
      </c>
    </row>
    <row r="42" spans="1:7" ht="50.25" customHeight="1">
      <c r="A42" s="9"/>
      <c r="B42" s="26"/>
      <c r="C42" s="11"/>
      <c r="D42" s="12" t="s">
        <v>1577</v>
      </c>
      <c r="E42" s="51">
        <v>0.11</v>
      </c>
      <c r="F42" s="1"/>
      <c r="G42" s="11">
        <f t="shared" si="0"/>
        <v>0</v>
      </c>
    </row>
    <row r="43" spans="1:7" ht="31.5">
      <c r="A43" s="9"/>
      <c r="B43" s="26"/>
      <c r="C43" s="11"/>
      <c r="D43" s="12" t="s">
        <v>518</v>
      </c>
      <c r="E43" s="51">
        <v>0.02</v>
      </c>
      <c r="F43" s="1"/>
      <c r="G43" s="11">
        <f t="shared" si="0"/>
        <v>0</v>
      </c>
    </row>
    <row r="44" spans="1:7" ht="110.25">
      <c r="A44" s="9"/>
      <c r="B44" s="26"/>
      <c r="C44" s="11"/>
      <c r="D44" s="13" t="s">
        <v>519</v>
      </c>
      <c r="E44" s="51">
        <v>0.18</v>
      </c>
      <c r="F44" s="1"/>
      <c r="G44" s="11">
        <f t="shared" si="0"/>
        <v>0</v>
      </c>
    </row>
    <row r="45" spans="1:7" ht="64.5" customHeight="1">
      <c r="A45" s="9"/>
      <c r="B45" s="26"/>
      <c r="C45" s="11"/>
      <c r="D45" s="12" t="s">
        <v>324</v>
      </c>
      <c r="E45" s="51">
        <v>0.17</v>
      </c>
      <c r="F45" s="1"/>
      <c r="G45" s="11">
        <f t="shared" si="0"/>
        <v>0</v>
      </c>
    </row>
    <row r="46" spans="1:7" ht="110.25">
      <c r="A46" s="9"/>
      <c r="B46" s="26"/>
      <c r="C46" s="11"/>
      <c r="D46" s="12" t="s">
        <v>859</v>
      </c>
      <c r="E46" s="51">
        <v>0.14000000000000001</v>
      </c>
      <c r="F46" s="1"/>
      <c r="G46" s="11">
        <f t="shared" si="0"/>
        <v>0</v>
      </c>
    </row>
    <row r="47" spans="1:7" ht="78.75">
      <c r="A47" s="9"/>
      <c r="B47" s="26"/>
      <c r="C47" s="11"/>
      <c r="D47" s="10" t="s">
        <v>858</v>
      </c>
      <c r="E47" s="51">
        <v>0.13</v>
      </c>
      <c r="F47" s="1"/>
      <c r="G47" s="11">
        <f t="shared" si="0"/>
        <v>0</v>
      </c>
    </row>
    <row r="48" spans="1:7">
      <c r="A48" s="41"/>
      <c r="B48" s="28" t="s">
        <v>848</v>
      </c>
      <c r="C48" s="29">
        <v>0.1</v>
      </c>
      <c r="D48" s="32"/>
      <c r="E48" s="29">
        <f>SUM(E38:E47)</f>
        <v>1</v>
      </c>
      <c r="F48" s="29" t="s">
        <v>52</v>
      </c>
      <c r="G48" s="29">
        <f>SUM(G38:G47)*C48</f>
        <v>0</v>
      </c>
    </row>
    <row r="49" spans="1:7" ht="47.25">
      <c r="A49" s="9" t="s">
        <v>909</v>
      </c>
      <c r="B49" s="26" t="s">
        <v>73</v>
      </c>
      <c r="C49" s="10"/>
      <c r="D49" s="12" t="s">
        <v>1111</v>
      </c>
      <c r="E49" s="51">
        <v>0.22</v>
      </c>
      <c r="F49" s="1"/>
      <c r="G49" s="11">
        <f t="shared" ref="G49:G104" si="1">F49*E49</f>
        <v>0</v>
      </c>
    </row>
    <row r="50" spans="1:7" ht="31.5">
      <c r="A50" s="9"/>
      <c r="B50" s="26"/>
      <c r="C50" s="10"/>
      <c r="D50" s="12" t="s">
        <v>1112</v>
      </c>
      <c r="E50" s="51">
        <v>0.18</v>
      </c>
      <c r="F50" s="1"/>
      <c r="G50" s="11">
        <f t="shared" si="1"/>
        <v>0</v>
      </c>
    </row>
    <row r="51" spans="1:7" ht="63">
      <c r="A51" s="9"/>
      <c r="B51" s="26"/>
      <c r="C51" s="10"/>
      <c r="D51" s="12" t="s">
        <v>1113</v>
      </c>
      <c r="E51" s="51">
        <v>0.14000000000000001</v>
      </c>
      <c r="F51" s="1"/>
      <c r="G51" s="11">
        <f t="shared" si="1"/>
        <v>0</v>
      </c>
    </row>
    <row r="52" spans="1:7" ht="47.25">
      <c r="A52" s="9"/>
      <c r="B52" s="26"/>
      <c r="C52" s="10"/>
      <c r="D52" s="12" t="s">
        <v>1114</v>
      </c>
      <c r="E52" s="51">
        <v>0.25</v>
      </c>
      <c r="F52" s="1"/>
      <c r="G52" s="11">
        <f t="shared" si="1"/>
        <v>0</v>
      </c>
    </row>
    <row r="53" spans="1:7" ht="31.5">
      <c r="A53" s="9"/>
      <c r="B53" s="26"/>
      <c r="C53" s="10"/>
      <c r="D53" s="12" t="s">
        <v>1115</v>
      </c>
      <c r="E53" s="51">
        <v>7.0000000000000007E-2</v>
      </c>
      <c r="F53" s="1"/>
      <c r="G53" s="11">
        <f t="shared" si="1"/>
        <v>0</v>
      </c>
    </row>
    <row r="54" spans="1:7" ht="31.5">
      <c r="A54" s="9"/>
      <c r="B54" s="26"/>
      <c r="C54" s="10"/>
      <c r="D54" s="12" t="s">
        <v>1116</v>
      </c>
      <c r="E54" s="51">
        <v>0.11</v>
      </c>
      <c r="F54" s="1"/>
      <c r="G54" s="11">
        <f t="shared" si="1"/>
        <v>0</v>
      </c>
    </row>
    <row r="55" spans="1:7">
      <c r="A55" s="9"/>
      <c r="B55" s="26"/>
      <c r="C55" s="10"/>
      <c r="D55" s="12" t="s">
        <v>1117</v>
      </c>
      <c r="E55" s="51">
        <v>0.03</v>
      </c>
      <c r="F55" s="1"/>
      <c r="G55" s="11">
        <f t="shared" si="1"/>
        <v>0</v>
      </c>
    </row>
    <row r="56" spans="1:7">
      <c r="A56" s="41"/>
      <c r="B56" s="28" t="s">
        <v>848</v>
      </c>
      <c r="C56" s="29">
        <v>0.09</v>
      </c>
      <c r="D56" s="32"/>
      <c r="E56" s="29">
        <f>SUM(E49:E55)</f>
        <v>1</v>
      </c>
      <c r="F56" s="29" t="s">
        <v>53</v>
      </c>
      <c r="G56" s="29">
        <f>SUM(G49:G55)*C56</f>
        <v>0</v>
      </c>
    </row>
    <row r="57" spans="1:7" ht="47.25">
      <c r="A57" s="9" t="s">
        <v>910</v>
      </c>
      <c r="B57" s="26" t="s">
        <v>437</v>
      </c>
      <c r="C57" s="10"/>
      <c r="D57" s="12" t="s">
        <v>1118</v>
      </c>
      <c r="E57" s="51">
        <v>0.18</v>
      </c>
      <c r="F57" s="1"/>
      <c r="G57" s="11">
        <f t="shared" si="1"/>
        <v>0</v>
      </c>
    </row>
    <row r="58" spans="1:7">
      <c r="A58" s="9"/>
      <c r="B58" s="26"/>
      <c r="C58" s="10"/>
      <c r="D58" s="12" t="s">
        <v>1111</v>
      </c>
      <c r="E58" s="51">
        <v>0.16</v>
      </c>
      <c r="F58" s="1"/>
      <c r="G58" s="11">
        <f t="shared" si="1"/>
        <v>0</v>
      </c>
    </row>
    <row r="59" spans="1:7" ht="47.25">
      <c r="A59" s="9"/>
      <c r="B59" s="26"/>
      <c r="C59" s="10"/>
      <c r="D59" s="12" t="s">
        <v>1119</v>
      </c>
      <c r="E59" s="51">
        <v>0.11</v>
      </c>
      <c r="F59" s="1"/>
      <c r="G59" s="11">
        <f t="shared" si="1"/>
        <v>0</v>
      </c>
    </row>
    <row r="60" spans="1:7" ht="31.5">
      <c r="A60" s="9"/>
      <c r="B60" s="26"/>
      <c r="C60" s="10"/>
      <c r="D60" s="12" t="s">
        <v>860</v>
      </c>
      <c r="E60" s="51">
        <v>0.05</v>
      </c>
      <c r="F60" s="1"/>
      <c r="G60" s="11">
        <f t="shared" si="1"/>
        <v>0</v>
      </c>
    </row>
    <row r="61" spans="1:7" ht="31.5">
      <c r="A61" s="9"/>
      <c r="B61" s="26"/>
      <c r="C61" s="10"/>
      <c r="D61" s="12" t="s">
        <v>861</v>
      </c>
      <c r="E61" s="51">
        <v>0.11</v>
      </c>
      <c r="F61" s="1"/>
      <c r="G61" s="11">
        <f t="shared" si="1"/>
        <v>0</v>
      </c>
    </row>
    <row r="62" spans="1:7" ht="47.25">
      <c r="A62" s="9"/>
      <c r="B62" s="26"/>
      <c r="C62" s="10"/>
      <c r="D62" s="12" t="s">
        <v>862</v>
      </c>
      <c r="E62" s="51">
        <v>0.11</v>
      </c>
      <c r="F62" s="1"/>
      <c r="G62" s="11">
        <f t="shared" si="1"/>
        <v>0</v>
      </c>
    </row>
    <row r="63" spans="1:7" ht="31.5">
      <c r="A63" s="9"/>
      <c r="B63" s="26"/>
      <c r="C63" s="10"/>
      <c r="D63" s="12" t="s">
        <v>863</v>
      </c>
      <c r="E63" s="51">
        <v>7.0000000000000007E-2</v>
      </c>
      <c r="F63" s="1"/>
      <c r="G63" s="11">
        <f t="shared" si="1"/>
        <v>0</v>
      </c>
    </row>
    <row r="64" spans="1:7" ht="31.5">
      <c r="A64" s="9"/>
      <c r="B64" s="26"/>
      <c r="C64" s="10"/>
      <c r="D64" s="12" t="s">
        <v>864</v>
      </c>
      <c r="E64" s="51">
        <v>7.0000000000000007E-2</v>
      </c>
      <c r="F64" s="1"/>
      <c r="G64" s="11">
        <f t="shared" si="1"/>
        <v>0</v>
      </c>
    </row>
    <row r="65" spans="1:7" ht="31.5">
      <c r="A65" s="9"/>
      <c r="B65" s="26"/>
      <c r="C65" s="10"/>
      <c r="D65" s="12" t="s">
        <v>1125</v>
      </c>
      <c r="E65" s="51">
        <v>0.11</v>
      </c>
      <c r="F65" s="1"/>
      <c r="G65" s="11">
        <f t="shared" si="1"/>
        <v>0</v>
      </c>
    </row>
    <row r="66" spans="1:7">
      <c r="A66" s="9"/>
      <c r="B66" s="26"/>
      <c r="C66" s="10"/>
      <c r="D66" s="12" t="s">
        <v>1117</v>
      </c>
      <c r="E66" s="51">
        <v>0.03</v>
      </c>
      <c r="F66" s="1"/>
      <c r="G66" s="11">
        <f t="shared" si="1"/>
        <v>0</v>
      </c>
    </row>
    <row r="67" spans="1:7">
      <c r="A67" s="41"/>
      <c r="B67" s="28" t="s">
        <v>848</v>
      </c>
      <c r="C67" s="29">
        <v>7.0000000000000007E-2</v>
      </c>
      <c r="D67" s="32"/>
      <c r="E67" s="29">
        <f>SUM(E57:E66)</f>
        <v>1</v>
      </c>
      <c r="F67" s="29" t="s">
        <v>54</v>
      </c>
      <c r="G67" s="29">
        <f>SUM(G57:G66)*C67</f>
        <v>0</v>
      </c>
    </row>
    <row r="68" spans="1:7" ht="94.5">
      <c r="A68" s="9" t="s">
        <v>438</v>
      </c>
      <c r="B68" s="26" t="s">
        <v>70</v>
      </c>
      <c r="C68" s="11"/>
      <c r="D68" s="685" t="s">
        <v>522</v>
      </c>
      <c r="E68" s="307">
        <v>0.12</v>
      </c>
      <c r="F68" s="1"/>
      <c r="G68" s="11">
        <f t="shared" ref="G68:G74" si="2">F68*E68</f>
        <v>0</v>
      </c>
    </row>
    <row r="69" spans="1:7" ht="31.5">
      <c r="A69" s="9"/>
      <c r="B69" s="26"/>
      <c r="C69" s="11"/>
      <c r="D69" s="685" t="s">
        <v>1127</v>
      </c>
      <c r="E69" s="307">
        <v>0.12</v>
      </c>
      <c r="F69" s="1"/>
      <c r="G69" s="11">
        <f t="shared" si="2"/>
        <v>0</v>
      </c>
    </row>
    <row r="70" spans="1:7" ht="31.5">
      <c r="A70" s="9"/>
      <c r="B70" s="26"/>
      <c r="C70" s="11"/>
      <c r="D70" s="686" t="s">
        <v>1128</v>
      </c>
      <c r="E70" s="307">
        <v>0.12</v>
      </c>
      <c r="F70" s="1"/>
      <c r="G70" s="11">
        <f t="shared" si="2"/>
        <v>0</v>
      </c>
    </row>
    <row r="71" spans="1:7" ht="47.25">
      <c r="A71" s="9"/>
      <c r="B71" s="26"/>
      <c r="C71" s="11"/>
      <c r="D71" s="685" t="s">
        <v>1129</v>
      </c>
      <c r="E71" s="307">
        <v>0.16</v>
      </c>
      <c r="F71" s="1"/>
      <c r="G71" s="11">
        <f t="shared" si="2"/>
        <v>0</v>
      </c>
    </row>
    <row r="72" spans="1:7" ht="51" customHeight="1">
      <c r="A72" s="9"/>
      <c r="B72" s="26"/>
      <c r="C72" s="11"/>
      <c r="D72" s="685" t="s">
        <v>1130</v>
      </c>
      <c r="E72" s="307">
        <v>0.16</v>
      </c>
      <c r="F72" s="1"/>
      <c r="G72" s="11">
        <f t="shared" si="2"/>
        <v>0</v>
      </c>
    </row>
    <row r="73" spans="1:7" ht="78.75">
      <c r="A73" s="9"/>
      <c r="B73" s="26"/>
      <c r="C73" s="11"/>
      <c r="D73" s="685" t="s">
        <v>523</v>
      </c>
      <c r="E73" s="307">
        <v>0.16</v>
      </c>
      <c r="F73" s="1"/>
      <c r="G73" s="11">
        <f t="shared" si="2"/>
        <v>0</v>
      </c>
    </row>
    <row r="74" spans="1:7" ht="47.25">
      <c r="A74" s="9"/>
      <c r="B74" s="26"/>
      <c r="C74" s="11"/>
      <c r="D74" s="685" t="s">
        <v>524</v>
      </c>
      <c r="E74" s="307">
        <v>0.16</v>
      </c>
      <c r="F74" s="1"/>
      <c r="G74" s="11">
        <f t="shared" si="2"/>
        <v>0</v>
      </c>
    </row>
    <row r="75" spans="1:7">
      <c r="A75" s="41"/>
      <c r="B75" s="28" t="s">
        <v>848</v>
      </c>
      <c r="C75" s="29">
        <v>0.06</v>
      </c>
      <c r="D75" s="622"/>
      <c r="E75" s="29">
        <f>SUM(E68:E74)</f>
        <v>1</v>
      </c>
      <c r="F75" s="29" t="s">
        <v>55</v>
      </c>
      <c r="G75" s="29">
        <f>SUM(G68:G74)*C75</f>
        <v>0</v>
      </c>
    </row>
    <row r="76" spans="1:7" ht="141.75">
      <c r="A76" s="9" t="s">
        <v>439</v>
      </c>
      <c r="B76" s="26" t="s">
        <v>66</v>
      </c>
      <c r="C76" s="10"/>
      <c r="D76" s="685" t="s">
        <v>1133</v>
      </c>
      <c r="E76" s="307">
        <v>0.2</v>
      </c>
      <c r="F76" s="1"/>
      <c r="G76" s="11">
        <f t="shared" si="1"/>
        <v>0</v>
      </c>
    </row>
    <row r="77" spans="1:7" ht="141.75">
      <c r="A77" s="9"/>
      <c r="B77" s="26"/>
      <c r="C77" s="10"/>
      <c r="D77" s="685" t="s">
        <v>525</v>
      </c>
      <c r="E77" s="307">
        <v>0.35</v>
      </c>
      <c r="F77" s="1"/>
      <c r="G77" s="11">
        <f t="shared" si="1"/>
        <v>0</v>
      </c>
    </row>
    <row r="78" spans="1:7" ht="47.25">
      <c r="A78" s="9"/>
      <c r="B78" s="26"/>
      <c r="C78" s="10"/>
      <c r="D78" s="686" t="s">
        <v>1134</v>
      </c>
      <c r="E78" s="307">
        <v>0.14000000000000001</v>
      </c>
      <c r="F78" s="1"/>
      <c r="G78" s="11">
        <f t="shared" si="1"/>
        <v>0</v>
      </c>
    </row>
    <row r="79" spans="1:7" ht="63">
      <c r="A79" s="9"/>
      <c r="B79" s="26"/>
      <c r="C79" s="10"/>
      <c r="D79" s="686" t="s">
        <v>1135</v>
      </c>
      <c r="E79" s="307">
        <v>0.21</v>
      </c>
      <c r="F79" s="1"/>
      <c r="G79" s="11">
        <f t="shared" si="1"/>
        <v>0</v>
      </c>
    </row>
    <row r="80" spans="1:7" ht="31.5">
      <c r="A80" s="9"/>
      <c r="B80" s="26"/>
      <c r="C80" s="10"/>
      <c r="D80" s="685" t="s">
        <v>1136</v>
      </c>
      <c r="E80" s="307">
        <v>0.1</v>
      </c>
      <c r="F80" s="1"/>
      <c r="G80" s="11">
        <f t="shared" si="1"/>
        <v>0</v>
      </c>
    </row>
    <row r="81" spans="1:7">
      <c r="A81" s="41"/>
      <c r="B81" s="28" t="s">
        <v>848</v>
      </c>
      <c r="C81" s="29">
        <v>0.06</v>
      </c>
      <c r="D81" s="622"/>
      <c r="E81" s="29">
        <f>SUM(E76:E80)</f>
        <v>1</v>
      </c>
      <c r="F81" s="29" t="s">
        <v>56</v>
      </c>
      <c r="G81" s="29">
        <f>SUM(G76:G80)*C81</f>
        <v>0</v>
      </c>
    </row>
    <row r="82" spans="1:7" ht="63">
      <c r="A82" s="9" t="s">
        <v>440</v>
      </c>
      <c r="B82" s="26" t="s">
        <v>67</v>
      </c>
      <c r="C82" s="11"/>
      <c r="D82" s="685" t="s">
        <v>526</v>
      </c>
      <c r="E82" s="307">
        <v>0.2</v>
      </c>
      <c r="F82" s="1"/>
      <c r="G82" s="11">
        <f t="shared" si="1"/>
        <v>0</v>
      </c>
    </row>
    <row r="83" spans="1:7" ht="31.5">
      <c r="A83" s="9"/>
      <c r="B83" s="26"/>
      <c r="C83" s="11"/>
      <c r="D83" s="685" t="s">
        <v>865</v>
      </c>
      <c r="E83" s="307">
        <v>0.27</v>
      </c>
      <c r="F83" s="1"/>
      <c r="G83" s="11">
        <f t="shared" si="1"/>
        <v>0</v>
      </c>
    </row>
    <row r="84" spans="1:7" ht="94.5">
      <c r="A84" s="9"/>
      <c r="B84" s="26"/>
      <c r="C84" s="11"/>
      <c r="D84" s="685" t="s">
        <v>1140</v>
      </c>
      <c r="E84" s="307">
        <v>0.34</v>
      </c>
      <c r="F84" s="1"/>
      <c r="G84" s="11">
        <f t="shared" si="1"/>
        <v>0</v>
      </c>
    </row>
    <row r="85" spans="1:7" ht="63">
      <c r="A85" s="9"/>
      <c r="B85" s="26"/>
      <c r="C85" s="11"/>
      <c r="D85" s="685" t="s">
        <v>1141</v>
      </c>
      <c r="E85" s="307">
        <v>7.0000000000000007E-2</v>
      </c>
      <c r="F85" s="1"/>
      <c r="G85" s="11">
        <f t="shared" si="1"/>
        <v>0</v>
      </c>
    </row>
    <row r="86" spans="1:7" ht="47.25">
      <c r="A86" s="9"/>
      <c r="B86" s="26"/>
      <c r="C86" s="11"/>
      <c r="D86" s="685" t="s">
        <v>1142</v>
      </c>
      <c r="E86" s="307">
        <v>0.12</v>
      </c>
      <c r="F86" s="1"/>
      <c r="G86" s="11">
        <f t="shared" si="1"/>
        <v>0</v>
      </c>
    </row>
    <row r="87" spans="1:7">
      <c r="A87" s="41"/>
      <c r="B87" s="28" t="s">
        <v>848</v>
      </c>
      <c r="C87" s="29">
        <v>7.0000000000000007E-2</v>
      </c>
      <c r="D87" s="622"/>
      <c r="E87" s="29">
        <f>SUM(E82:E86)</f>
        <v>1</v>
      </c>
      <c r="F87" s="29" t="s">
        <v>57</v>
      </c>
      <c r="G87" s="29">
        <f>SUM(G82:G86)*C87</f>
        <v>0</v>
      </c>
    </row>
    <row r="88" spans="1:7" ht="110.25">
      <c r="A88" s="9" t="s">
        <v>441</v>
      </c>
      <c r="B88" s="26" t="s">
        <v>442</v>
      </c>
      <c r="C88" s="11"/>
      <c r="D88" s="685" t="s">
        <v>1569</v>
      </c>
      <c r="E88" s="307">
        <v>0.08</v>
      </c>
      <c r="F88" s="1"/>
      <c r="G88" s="11">
        <f t="shared" si="1"/>
        <v>0</v>
      </c>
    </row>
    <row r="89" spans="1:7" ht="47.25">
      <c r="A89" s="9"/>
      <c r="B89" s="26"/>
      <c r="C89" s="11"/>
      <c r="D89" s="685" t="s">
        <v>527</v>
      </c>
      <c r="E89" s="307">
        <v>0.18</v>
      </c>
      <c r="F89" s="1"/>
      <c r="G89" s="11">
        <f t="shared" si="1"/>
        <v>0</v>
      </c>
    </row>
    <row r="90" spans="1:7" ht="33" customHeight="1">
      <c r="A90" s="9"/>
      <c r="B90" s="26"/>
      <c r="C90" s="11"/>
      <c r="D90" s="686" t="s">
        <v>1145</v>
      </c>
      <c r="E90" s="307">
        <v>0.14000000000000001</v>
      </c>
      <c r="F90" s="1"/>
      <c r="G90" s="11">
        <f t="shared" si="1"/>
        <v>0</v>
      </c>
    </row>
    <row r="91" spans="1:7" ht="47.25">
      <c r="A91" s="9"/>
      <c r="B91" s="26"/>
      <c r="C91" s="11"/>
      <c r="D91" s="685" t="s">
        <v>1146</v>
      </c>
      <c r="E91" s="307">
        <v>0.1</v>
      </c>
      <c r="F91" s="1"/>
      <c r="G91" s="11">
        <f t="shared" si="1"/>
        <v>0</v>
      </c>
    </row>
    <row r="92" spans="1:7" ht="31.5">
      <c r="A92" s="9"/>
      <c r="B92" s="26"/>
      <c r="C92" s="11"/>
      <c r="D92" s="685" t="s">
        <v>1147</v>
      </c>
      <c r="E92" s="307">
        <v>0.16</v>
      </c>
      <c r="F92" s="1"/>
      <c r="G92" s="11">
        <f t="shared" si="1"/>
        <v>0</v>
      </c>
    </row>
    <row r="93" spans="1:7" ht="47.25">
      <c r="A93" s="9"/>
      <c r="B93" s="26"/>
      <c r="C93" s="11"/>
      <c r="D93" s="685" t="s">
        <v>1570</v>
      </c>
      <c r="E93" s="307">
        <v>0.12</v>
      </c>
      <c r="F93" s="1"/>
      <c r="G93" s="11">
        <f t="shared" si="1"/>
        <v>0</v>
      </c>
    </row>
    <row r="94" spans="1:7" ht="47.25">
      <c r="A94" s="9"/>
      <c r="B94" s="26"/>
      <c r="C94" s="11"/>
      <c r="D94" s="685" t="s">
        <v>1148</v>
      </c>
      <c r="E94" s="307">
        <v>0.1</v>
      </c>
      <c r="F94" s="1"/>
      <c r="G94" s="11">
        <f t="shared" si="1"/>
        <v>0</v>
      </c>
    </row>
    <row r="95" spans="1:7" ht="31.5">
      <c r="A95" s="9"/>
      <c r="B95" s="26"/>
      <c r="C95" s="11"/>
      <c r="D95" s="685" t="s">
        <v>1571</v>
      </c>
      <c r="E95" s="307">
        <v>0.08</v>
      </c>
      <c r="F95" s="1"/>
      <c r="G95" s="11">
        <f t="shared" si="1"/>
        <v>0</v>
      </c>
    </row>
    <row r="96" spans="1:7">
      <c r="A96" s="9"/>
      <c r="B96" s="26"/>
      <c r="C96" s="11"/>
      <c r="D96" s="685" t="s">
        <v>1117</v>
      </c>
      <c r="E96" s="307">
        <v>0.04</v>
      </c>
      <c r="F96" s="1"/>
      <c r="G96" s="11">
        <f t="shared" si="1"/>
        <v>0</v>
      </c>
    </row>
    <row r="97" spans="1:7">
      <c r="A97" s="41"/>
      <c r="B97" s="28" t="s">
        <v>848</v>
      </c>
      <c r="C97" s="29">
        <v>0.09</v>
      </c>
      <c r="D97" s="622"/>
      <c r="E97" s="29">
        <f>SUM(E88:E96)</f>
        <v>1</v>
      </c>
      <c r="F97" s="29" t="s">
        <v>58</v>
      </c>
      <c r="G97" s="29">
        <f>SUM(G88:G96)*C97</f>
        <v>0</v>
      </c>
    </row>
    <row r="98" spans="1:7" ht="126">
      <c r="A98" s="15">
        <v>14</v>
      </c>
      <c r="B98" s="26" t="s">
        <v>1575</v>
      </c>
      <c r="C98" s="17"/>
      <c r="D98" s="685" t="s">
        <v>528</v>
      </c>
      <c r="E98" s="307">
        <v>0.14000000000000001</v>
      </c>
      <c r="F98" s="1"/>
      <c r="G98" s="11">
        <f t="shared" si="1"/>
        <v>0</v>
      </c>
    </row>
    <row r="99" spans="1:7" ht="50.25" customHeight="1">
      <c r="A99" s="16"/>
      <c r="B99" s="67"/>
      <c r="C99" s="17"/>
      <c r="D99" s="685" t="s">
        <v>1579</v>
      </c>
      <c r="E99" s="307">
        <v>0.18</v>
      </c>
      <c r="F99" s="1"/>
      <c r="G99" s="11">
        <f t="shared" si="1"/>
        <v>0</v>
      </c>
    </row>
    <row r="100" spans="1:7">
      <c r="A100" s="16"/>
      <c r="B100" s="67"/>
      <c r="C100" s="17"/>
      <c r="D100" s="686" t="s">
        <v>1574</v>
      </c>
      <c r="E100" s="307">
        <v>0.14000000000000001</v>
      </c>
      <c r="F100" s="1"/>
      <c r="G100" s="11">
        <f t="shared" si="1"/>
        <v>0</v>
      </c>
    </row>
    <row r="101" spans="1:7" ht="31.5">
      <c r="A101" s="16"/>
      <c r="B101" s="67"/>
      <c r="C101" s="17"/>
      <c r="D101" s="685" t="s">
        <v>1572</v>
      </c>
      <c r="E101" s="307">
        <v>0.18</v>
      </c>
      <c r="F101" s="1"/>
      <c r="G101" s="11">
        <f t="shared" si="1"/>
        <v>0</v>
      </c>
    </row>
    <row r="102" spans="1:7" ht="110.25">
      <c r="A102" s="16"/>
      <c r="B102" s="67"/>
      <c r="C102" s="17"/>
      <c r="D102" s="685" t="s">
        <v>529</v>
      </c>
      <c r="E102" s="307">
        <v>0.18</v>
      </c>
      <c r="F102" s="1"/>
      <c r="G102" s="11">
        <f t="shared" si="1"/>
        <v>0</v>
      </c>
    </row>
    <row r="103" spans="1:7" ht="63">
      <c r="A103" s="16"/>
      <c r="B103" s="67"/>
      <c r="C103" s="17"/>
      <c r="D103" s="687" t="s">
        <v>1573</v>
      </c>
      <c r="E103" s="307">
        <v>7.0000000000000007E-2</v>
      </c>
      <c r="F103" s="1"/>
      <c r="G103" s="11">
        <f t="shared" si="1"/>
        <v>0</v>
      </c>
    </row>
    <row r="104" spans="1:7" ht="31.5">
      <c r="A104" s="16"/>
      <c r="B104" s="67"/>
      <c r="C104" s="17"/>
      <c r="D104" s="687" t="s">
        <v>530</v>
      </c>
      <c r="E104" s="307">
        <v>0.11</v>
      </c>
      <c r="F104" s="1"/>
      <c r="G104" s="11">
        <f t="shared" si="1"/>
        <v>0</v>
      </c>
    </row>
    <row r="105" spans="1:7">
      <c r="A105" s="43"/>
      <c r="B105" s="44" t="s">
        <v>848</v>
      </c>
      <c r="C105" s="34">
        <v>0.09</v>
      </c>
      <c r="D105" s="622"/>
      <c r="E105" s="29">
        <f>SUM(E98:E104)</f>
        <v>1.0000000000000002</v>
      </c>
      <c r="F105" s="29" t="s">
        <v>59</v>
      </c>
      <c r="G105" s="29">
        <f>SUM(G98:G104)*C105</f>
        <v>0</v>
      </c>
    </row>
    <row r="106" spans="1:7">
      <c r="A106" s="40"/>
      <c r="B106" s="36" t="s">
        <v>443</v>
      </c>
      <c r="C106" s="39">
        <f>SUM(C7,C10,C16,C22,C29,C37,C48,C56,C67,C75,C81,C87,C97,C105)</f>
        <v>1.0000000000000002</v>
      </c>
      <c r="D106" s="38"/>
      <c r="E106" s="39">
        <v>14</v>
      </c>
      <c r="F106" s="38"/>
      <c r="G106" s="39">
        <f>SUBTOTAL(9,G7,G10,G16,G22,G29,G37,G48,G56,G67,G75,G81,G87,G97,G105)</f>
        <v>0</v>
      </c>
    </row>
    <row r="107" spans="1:7">
      <c r="A107" s="12"/>
      <c r="B107" s="26" t="s">
        <v>444</v>
      </c>
      <c r="C107" s="10"/>
      <c r="D107" s="10"/>
      <c r="E107" s="11"/>
      <c r="F107" s="3"/>
      <c r="G107" s="11" t="str">
        <f>IF(G106&lt;=0.5,"низький",IF(G106&lt;=0.75,"середній",(IF(G106&lt;=0.95,"достатній",(IF(G106&lt;=1,"високий"))))))</f>
        <v>низький</v>
      </c>
    </row>
    <row r="108" spans="1:7" s="302" customFormat="1">
      <c r="A108" s="288" t="s">
        <v>182</v>
      </c>
      <c r="B108" s="289"/>
      <c r="C108" s="342"/>
      <c r="E108" s="343"/>
      <c r="F108" s="344"/>
      <c r="G108" s="112"/>
    </row>
    <row r="109" spans="1:7" s="302" customFormat="1" ht="17.25">
      <c r="A109" s="345" t="s">
        <v>589</v>
      </c>
      <c r="B109" s="346"/>
      <c r="C109" s="347"/>
      <c r="D109" s="303"/>
      <c r="E109" s="348"/>
      <c r="F109" s="349"/>
      <c r="G109" s="112"/>
    </row>
    <row r="110" spans="1:7" s="302" customFormat="1" ht="17.25">
      <c r="A110" s="345" t="s">
        <v>590</v>
      </c>
      <c r="B110" s="346"/>
      <c r="C110" s="347"/>
      <c r="D110" s="303"/>
      <c r="E110" s="348"/>
      <c r="F110" s="349"/>
      <c r="G110" s="112"/>
    </row>
    <row r="111" spans="1:7" s="302" customFormat="1" ht="17.25">
      <c r="A111" s="345" t="s">
        <v>591</v>
      </c>
      <c r="B111" s="346"/>
      <c r="C111" s="347"/>
      <c r="D111" s="303"/>
      <c r="E111" s="348"/>
      <c r="F111" s="349"/>
      <c r="G111" s="112"/>
    </row>
    <row r="112" spans="1:7" s="302" customFormat="1" ht="17.25">
      <c r="A112" s="345" t="s">
        <v>592</v>
      </c>
      <c r="B112" s="346"/>
      <c r="C112" s="347"/>
      <c r="D112" s="303"/>
      <c r="E112" s="348"/>
      <c r="F112" s="349"/>
      <c r="G112" s="112"/>
    </row>
    <row r="113" spans="1:7" s="302" customFormat="1" ht="17.25">
      <c r="A113" s="345" t="s">
        <v>593</v>
      </c>
      <c r="B113" s="346"/>
      <c r="C113" s="347"/>
      <c r="D113" s="303"/>
      <c r="E113" s="348"/>
      <c r="F113" s="349"/>
      <c r="G113" s="112"/>
    </row>
    <row r="114" spans="1:7" s="302" customFormat="1" ht="17.25">
      <c r="A114" s="345" t="s">
        <v>594</v>
      </c>
      <c r="B114" s="346"/>
      <c r="C114" s="347"/>
      <c r="D114" s="303"/>
      <c r="E114" s="348"/>
      <c r="F114" s="349"/>
      <c r="G114" s="112"/>
    </row>
    <row r="115" spans="1:7" s="302" customFormat="1" ht="17.25">
      <c r="A115" s="345" t="s">
        <v>595</v>
      </c>
      <c r="B115" s="346"/>
      <c r="C115" s="347"/>
      <c r="D115" s="303"/>
      <c r="E115" s="348"/>
      <c r="F115" s="349"/>
      <c r="G115" s="112"/>
    </row>
    <row r="116" spans="1:7" s="302" customFormat="1">
      <c r="A116" s="350" t="s">
        <v>596</v>
      </c>
      <c r="B116" s="346"/>
      <c r="C116" s="347"/>
      <c r="D116" s="303"/>
      <c r="E116" s="348"/>
      <c r="F116" s="349"/>
      <c r="G116" s="112"/>
    </row>
    <row r="117" spans="1:7" s="302" customFormat="1">
      <c r="A117" s="345" t="s">
        <v>597</v>
      </c>
      <c r="B117" s="346"/>
      <c r="C117" s="347"/>
      <c r="D117" s="303"/>
      <c r="E117" s="348"/>
      <c r="F117" s="349"/>
      <c r="G117" s="112"/>
    </row>
    <row r="118" spans="1:7" s="302" customFormat="1">
      <c r="A118" s="288" t="s">
        <v>792</v>
      </c>
      <c r="B118" s="346"/>
      <c r="C118" s="347"/>
      <c r="D118" s="303"/>
      <c r="E118" s="348"/>
      <c r="F118" s="349"/>
      <c r="G118" s="112"/>
    </row>
    <row r="119" spans="1:7" s="302" customFormat="1">
      <c r="A119" s="288" t="s">
        <v>793</v>
      </c>
      <c r="B119" s="346"/>
      <c r="C119" s="347"/>
      <c r="D119" s="303"/>
      <c r="E119" s="348"/>
      <c r="F119" s="349"/>
      <c r="G119" s="112"/>
    </row>
    <row r="120" spans="1:7" s="302" customFormat="1">
      <c r="A120" s="288" t="s">
        <v>794</v>
      </c>
      <c r="B120" s="346"/>
      <c r="C120" s="347"/>
      <c r="D120" s="303"/>
      <c r="E120" s="348"/>
      <c r="F120" s="349"/>
      <c r="G120" s="112"/>
    </row>
    <row r="121" spans="1:7" s="302" customFormat="1">
      <c r="A121" s="342"/>
      <c r="B121" s="342" t="s">
        <v>20</v>
      </c>
      <c r="C121" s="342"/>
      <c r="D121" s="342"/>
      <c r="E121" s="342"/>
      <c r="F121" s="342"/>
      <c r="G121" s="342"/>
    </row>
    <row r="122" spans="1:7" s="302" customFormat="1">
      <c r="A122" s="351"/>
      <c r="B122" s="351"/>
      <c r="C122" s="351"/>
      <c r="D122" s="351"/>
      <c r="E122" s="351"/>
      <c r="F122" s="351"/>
      <c r="G122" s="351"/>
    </row>
    <row r="123" spans="1:7" s="302" customFormat="1">
      <c r="A123" s="351"/>
      <c r="B123" s="351"/>
      <c r="C123" s="351"/>
      <c r="D123" s="351"/>
      <c r="E123" s="351"/>
      <c r="F123" s="351"/>
      <c r="G123" s="351"/>
    </row>
    <row r="124" spans="1:7" s="302" customFormat="1">
      <c r="A124" s="351"/>
      <c r="B124" s="351"/>
      <c r="C124" s="351"/>
      <c r="D124" s="351"/>
      <c r="E124" s="351"/>
      <c r="F124" s="351"/>
      <c r="G124" s="351"/>
    </row>
    <row r="125" spans="1:7" s="302" customFormat="1">
      <c r="A125" s="351"/>
      <c r="B125" s="351"/>
      <c r="C125" s="351"/>
      <c r="D125" s="351"/>
      <c r="E125" s="351"/>
      <c r="F125" s="351"/>
      <c r="G125" s="351"/>
    </row>
    <row r="126" spans="1:7" s="302" customFormat="1">
      <c r="A126" s="351"/>
      <c r="B126" s="351"/>
      <c r="C126" s="351"/>
      <c r="D126" s="351"/>
      <c r="E126" s="351"/>
      <c r="F126" s="351"/>
      <c r="G126" s="351"/>
    </row>
    <row r="127" spans="1:7" s="302" customFormat="1">
      <c r="A127" s="351"/>
      <c r="B127" s="351"/>
      <c r="C127" s="351"/>
      <c r="D127" s="351"/>
      <c r="E127" s="351"/>
      <c r="F127" s="351"/>
      <c r="G127" s="351"/>
    </row>
    <row r="128" spans="1:7" s="302" customFormat="1">
      <c r="A128" s="351"/>
      <c r="B128" s="351"/>
      <c r="C128" s="351"/>
      <c r="D128" s="351"/>
      <c r="E128" s="351"/>
      <c r="F128" s="351"/>
      <c r="G128" s="351"/>
    </row>
    <row r="129" spans="1:7" s="302" customFormat="1">
      <c r="A129" s="351"/>
      <c r="B129" s="351"/>
      <c r="C129" s="351"/>
      <c r="D129" s="351"/>
      <c r="E129" s="351"/>
      <c r="F129" s="351"/>
      <c r="G129" s="351"/>
    </row>
    <row r="130" spans="1:7" s="302" customFormat="1">
      <c r="A130" s="351"/>
      <c r="B130" s="351"/>
      <c r="C130" s="351"/>
      <c r="D130" s="351"/>
      <c r="E130" s="351"/>
      <c r="F130" s="351"/>
      <c r="G130" s="351"/>
    </row>
    <row r="131" spans="1:7" s="302" customFormat="1">
      <c r="A131" s="351"/>
      <c r="B131" s="351"/>
      <c r="C131" s="351"/>
      <c r="D131" s="351"/>
      <c r="E131" s="351"/>
      <c r="F131" s="351"/>
      <c r="G131" s="351"/>
    </row>
    <row r="132" spans="1:7" s="302" customFormat="1">
      <c r="A132" s="351"/>
      <c r="B132" s="351"/>
      <c r="C132" s="351"/>
      <c r="D132" s="351"/>
      <c r="E132" s="351"/>
      <c r="F132" s="351"/>
      <c r="G132" s="351"/>
    </row>
    <row r="133" spans="1:7" s="302" customFormat="1">
      <c r="A133" s="351"/>
      <c r="B133" s="351"/>
      <c r="C133" s="351"/>
      <c r="D133" s="351"/>
      <c r="E133" s="351"/>
      <c r="F133" s="351"/>
      <c r="G133" s="351"/>
    </row>
    <row r="134" spans="1:7" s="302" customFormat="1">
      <c r="A134" s="351"/>
      <c r="B134" s="351"/>
      <c r="C134" s="351"/>
      <c r="D134" s="351"/>
      <c r="E134" s="351"/>
      <c r="F134" s="351"/>
      <c r="G134" s="351"/>
    </row>
    <row r="135" spans="1:7" s="302" customFormat="1">
      <c r="A135" s="351"/>
      <c r="B135" s="351"/>
      <c r="C135" s="351"/>
      <c r="D135" s="351"/>
      <c r="E135" s="351"/>
      <c r="F135" s="351"/>
      <c r="G135" s="351"/>
    </row>
    <row r="136" spans="1:7" s="302" customFormat="1">
      <c r="A136" s="342"/>
      <c r="B136" s="352" t="s">
        <v>2418</v>
      </c>
      <c r="C136" s="352"/>
      <c r="D136" s="352"/>
      <c r="E136" s="352"/>
      <c r="F136" s="352"/>
      <c r="G136" s="352"/>
    </row>
    <row r="137" spans="1:7" s="302" customFormat="1">
      <c r="A137" s="342"/>
      <c r="B137" s="353"/>
      <c r="C137" s="353"/>
      <c r="D137" s="353"/>
      <c r="E137" s="353"/>
      <c r="F137" s="353"/>
      <c r="G137" s="353"/>
    </row>
    <row r="138" spans="1:7" s="302" customFormat="1">
      <c r="A138" s="342"/>
      <c r="B138" s="352" t="s">
        <v>22</v>
      </c>
      <c r="C138" s="352"/>
      <c r="D138" s="352"/>
      <c r="E138" s="352"/>
      <c r="F138" s="352"/>
      <c r="G138" s="352"/>
    </row>
    <row r="139" spans="1:7" s="302" customFormat="1">
      <c r="A139" s="342"/>
      <c r="B139" s="353"/>
      <c r="C139" s="353"/>
      <c r="D139" s="353"/>
      <c r="E139" s="353"/>
      <c r="F139" s="353"/>
      <c r="G139" s="353"/>
    </row>
    <row r="140" spans="1:7" s="302" customFormat="1">
      <c r="A140" s="342"/>
      <c r="B140" s="352" t="s">
        <v>23</v>
      </c>
      <c r="C140" s="352"/>
      <c r="D140" s="352"/>
      <c r="E140" s="352"/>
      <c r="F140" s="352"/>
      <c r="G140" s="352"/>
    </row>
    <row r="141" spans="1:7" s="302" customFormat="1">
      <c r="A141" s="342"/>
      <c r="B141" s="352" t="s">
        <v>24</v>
      </c>
      <c r="C141" s="352"/>
      <c r="D141" s="352"/>
      <c r="E141" s="352"/>
      <c r="F141" s="352"/>
      <c r="G141" s="352"/>
    </row>
    <row r="142" spans="1:7" s="303" customFormat="1">
      <c r="A142" s="346"/>
      <c r="B142" s="346"/>
      <c r="E142" s="333"/>
    </row>
    <row r="143" spans="1:7" s="101" customFormat="1">
      <c r="A143" s="290"/>
      <c r="B143" s="289"/>
      <c r="C143" s="63"/>
      <c r="E143" s="63"/>
    </row>
    <row r="144" spans="1:7" s="101" customFormat="1">
      <c r="A144" s="290"/>
      <c r="B144" s="289"/>
      <c r="C144" s="63"/>
      <c r="E144" s="63"/>
    </row>
    <row r="145" spans="1:5" s="101" customFormat="1">
      <c r="A145" s="290"/>
      <c r="B145" s="289"/>
      <c r="C145" s="63"/>
      <c r="E145" s="63"/>
    </row>
  </sheetData>
  <autoFilter ref="A4:G107"/>
  <mergeCells count="2">
    <mergeCell ref="A2:G2"/>
    <mergeCell ref="A1:G1"/>
  </mergeCells>
  <phoneticPr fontId="4" type="noConversion"/>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sheetPr>
    <tabColor rgb="FF00B050"/>
  </sheetPr>
  <dimension ref="A1:H112"/>
  <sheetViews>
    <sheetView topLeftCell="A82" zoomScale="80" zoomScaleNormal="80" workbookViewId="0">
      <selection activeCell="B103" sqref="B103"/>
    </sheetView>
  </sheetViews>
  <sheetFormatPr defaultRowHeight="15.75"/>
  <cols>
    <col min="1" max="1" width="7" style="54" bestFit="1" customWidth="1"/>
    <col min="2" max="2" width="20.85546875" style="54" customWidth="1"/>
    <col min="3" max="3" width="11.5703125" style="54" customWidth="1"/>
    <col min="4" max="4" width="40.42578125" style="59" customWidth="1"/>
    <col min="5" max="5" width="12.5703125" style="68" customWidth="1"/>
    <col min="6" max="6" width="14.5703125" style="54" bestFit="1" customWidth="1"/>
    <col min="7" max="7" width="17.28515625" style="54" customWidth="1"/>
    <col min="8" max="16384" width="9.140625" style="54"/>
  </cols>
  <sheetData>
    <row r="1" spans="1:7" ht="18.75" customHeight="1">
      <c r="A1" s="1132" t="s">
        <v>446</v>
      </c>
      <c r="B1" s="1132"/>
      <c r="C1" s="1132"/>
      <c r="D1" s="1132"/>
      <c r="E1" s="1132"/>
      <c r="F1" s="1132"/>
      <c r="G1" s="1132"/>
    </row>
    <row r="2" spans="1:7" ht="38.25" customHeight="1">
      <c r="A2" s="1131" t="s">
        <v>834</v>
      </c>
      <c r="B2" s="1132"/>
      <c r="C2" s="1132"/>
      <c r="D2" s="1132"/>
      <c r="E2" s="1132"/>
      <c r="F2" s="1132"/>
      <c r="G2" s="1132"/>
    </row>
    <row r="4" spans="1:7" ht="63">
      <c r="A4" s="5" t="s">
        <v>434</v>
      </c>
      <c r="B4" s="5" t="s">
        <v>338</v>
      </c>
      <c r="C4" s="5" t="s">
        <v>771</v>
      </c>
      <c r="D4" s="5" t="s">
        <v>333</v>
      </c>
      <c r="E4" s="5" t="s">
        <v>337</v>
      </c>
      <c r="F4" s="5" t="s">
        <v>770</v>
      </c>
      <c r="G4" s="5" t="s">
        <v>82</v>
      </c>
    </row>
    <row r="5" spans="1:7" ht="31.5">
      <c r="A5" s="9" t="s">
        <v>625</v>
      </c>
      <c r="B5" s="26" t="s">
        <v>63</v>
      </c>
      <c r="C5" s="10"/>
      <c r="D5" s="14" t="s">
        <v>1084</v>
      </c>
      <c r="E5" s="11">
        <v>0.33</v>
      </c>
      <c r="F5" s="1"/>
      <c r="G5" s="11">
        <f t="shared" ref="G5:G16" si="0">F5*E5</f>
        <v>0</v>
      </c>
    </row>
    <row r="6" spans="1:7" ht="47.25">
      <c r="A6" s="9"/>
      <c r="B6" s="26"/>
      <c r="C6" s="10"/>
      <c r="D6" s="14" t="s">
        <v>531</v>
      </c>
      <c r="E6" s="11">
        <v>0.67</v>
      </c>
      <c r="F6" s="1"/>
      <c r="G6" s="11">
        <f t="shared" si="0"/>
        <v>0</v>
      </c>
    </row>
    <row r="7" spans="1:7">
      <c r="A7" s="41"/>
      <c r="B7" s="28" t="s">
        <v>848</v>
      </c>
      <c r="C7" s="29">
        <v>0.04</v>
      </c>
      <c r="D7" s="50"/>
      <c r="E7" s="29">
        <f>SUM(E5:E6)</f>
        <v>1</v>
      </c>
      <c r="F7" s="29" t="s">
        <v>46</v>
      </c>
      <c r="G7" s="29">
        <f>SUM(G5:G6)*C7</f>
        <v>0</v>
      </c>
    </row>
    <row r="8" spans="1:7" ht="31.5">
      <c r="A8" s="9" t="s">
        <v>626</v>
      </c>
      <c r="B8" s="24" t="s">
        <v>64</v>
      </c>
      <c r="C8" s="10"/>
      <c r="D8" s="14" t="s">
        <v>532</v>
      </c>
      <c r="E8" s="11">
        <v>0.48</v>
      </c>
      <c r="F8" s="1"/>
      <c r="G8" s="11">
        <f>F8*E6</f>
        <v>0</v>
      </c>
    </row>
    <row r="9" spans="1:7" ht="31.5">
      <c r="A9" s="9"/>
      <c r="B9" s="61"/>
      <c r="C9" s="10"/>
      <c r="D9" s="14" t="s">
        <v>1088</v>
      </c>
      <c r="E9" s="11">
        <v>0.32</v>
      </c>
      <c r="G9" s="11">
        <f>F9*E7</f>
        <v>0</v>
      </c>
    </row>
    <row r="10" spans="1:7" ht="47.25">
      <c r="A10" s="9"/>
      <c r="B10" s="61"/>
      <c r="C10" s="10"/>
      <c r="D10" s="14" t="s">
        <v>1089</v>
      </c>
      <c r="E10" s="11">
        <v>0.2</v>
      </c>
      <c r="F10" s="1"/>
      <c r="G10" s="11">
        <f>F10*E8</f>
        <v>0</v>
      </c>
    </row>
    <row r="11" spans="1:7">
      <c r="A11" s="41"/>
      <c r="B11" s="44" t="s">
        <v>848</v>
      </c>
      <c r="C11" s="29">
        <v>0.08</v>
      </c>
      <c r="D11" s="50"/>
      <c r="E11" s="29">
        <f>SUM(E8:E10)</f>
        <v>1</v>
      </c>
      <c r="F11" s="29" t="s">
        <v>47</v>
      </c>
      <c r="G11" s="29">
        <f>SUM(G8:G10)*C11</f>
        <v>0</v>
      </c>
    </row>
    <row r="12" spans="1:7" ht="63">
      <c r="A12" s="9" t="s">
        <v>627</v>
      </c>
      <c r="B12" s="24" t="s">
        <v>45</v>
      </c>
      <c r="C12" s="13"/>
      <c r="D12" s="13" t="s">
        <v>1090</v>
      </c>
      <c r="E12" s="11">
        <v>0.28000000000000003</v>
      </c>
      <c r="F12" s="1"/>
      <c r="G12" s="11">
        <f t="shared" si="0"/>
        <v>0</v>
      </c>
    </row>
    <row r="13" spans="1:7" ht="110.25">
      <c r="A13" s="9"/>
      <c r="B13" s="24"/>
      <c r="C13" s="13"/>
      <c r="D13" s="14" t="s">
        <v>1091</v>
      </c>
      <c r="E13" s="11">
        <v>0.35</v>
      </c>
      <c r="F13" s="1"/>
      <c r="G13" s="11">
        <f t="shared" si="0"/>
        <v>0</v>
      </c>
    </row>
    <row r="14" spans="1:7" ht="63">
      <c r="A14" s="9"/>
      <c r="B14" s="24"/>
      <c r="C14" s="13"/>
      <c r="D14" s="14" t="s">
        <v>1092</v>
      </c>
      <c r="E14" s="11">
        <v>0.13</v>
      </c>
      <c r="F14" s="1"/>
      <c r="G14" s="11">
        <f t="shared" si="0"/>
        <v>0</v>
      </c>
    </row>
    <row r="15" spans="1:7" ht="47.25">
      <c r="A15" s="9"/>
      <c r="B15" s="24"/>
      <c r="C15" s="13"/>
      <c r="D15" s="14" t="s">
        <v>1093</v>
      </c>
      <c r="E15" s="11">
        <v>0.12</v>
      </c>
      <c r="F15" s="1"/>
      <c r="G15" s="11">
        <f t="shared" si="0"/>
        <v>0</v>
      </c>
    </row>
    <row r="16" spans="1:7" ht="47.25">
      <c r="A16" s="9"/>
      <c r="B16" s="24"/>
      <c r="C16" s="13"/>
      <c r="D16" s="14" t="s">
        <v>1094</v>
      </c>
      <c r="E16" s="11">
        <v>0.12</v>
      </c>
      <c r="F16" s="1"/>
      <c r="G16" s="11">
        <f t="shared" si="0"/>
        <v>0</v>
      </c>
    </row>
    <row r="17" spans="1:8">
      <c r="A17" s="41"/>
      <c r="B17" s="44" t="s">
        <v>848</v>
      </c>
      <c r="C17" s="29">
        <v>0.1</v>
      </c>
      <c r="D17" s="50"/>
      <c r="E17" s="29">
        <f>SUM(E12:E16)</f>
        <v>1</v>
      </c>
      <c r="F17" s="29" t="s">
        <v>48</v>
      </c>
      <c r="G17" s="29">
        <f>SUM(G12:G16)*C17</f>
        <v>0</v>
      </c>
    </row>
    <row r="18" spans="1:8" ht="63">
      <c r="A18" s="9" t="s">
        <v>841</v>
      </c>
      <c r="B18" s="24" t="s">
        <v>72</v>
      </c>
      <c r="C18" s="11"/>
      <c r="D18" s="58" t="s">
        <v>533</v>
      </c>
      <c r="E18" s="51">
        <v>0.16</v>
      </c>
      <c r="F18" s="1"/>
      <c r="G18" s="11">
        <f>F18*E17</f>
        <v>0</v>
      </c>
      <c r="H18" s="62"/>
    </row>
    <row r="19" spans="1:8" ht="63">
      <c r="A19" s="9"/>
      <c r="B19" s="61"/>
      <c r="C19" s="11"/>
      <c r="D19" s="58" t="s">
        <v>662</v>
      </c>
      <c r="E19" s="51">
        <v>0.16</v>
      </c>
      <c r="F19" s="1"/>
      <c r="G19" s="11">
        <f>F19*E18</f>
        <v>0</v>
      </c>
      <c r="H19" s="62"/>
    </row>
    <row r="20" spans="1:8" ht="94.5">
      <c r="A20" s="9"/>
      <c r="B20" s="61"/>
      <c r="C20" s="11"/>
      <c r="D20" s="58" t="s">
        <v>534</v>
      </c>
      <c r="E20" s="51">
        <v>0.14000000000000001</v>
      </c>
      <c r="F20" s="1"/>
      <c r="G20" s="11">
        <f>F20*E19</f>
        <v>0</v>
      </c>
      <c r="H20" s="62"/>
    </row>
    <row r="21" spans="1:8" ht="220.5">
      <c r="A21" s="9"/>
      <c r="B21" s="61"/>
      <c r="C21" s="11"/>
      <c r="D21" s="53" t="s">
        <v>535</v>
      </c>
      <c r="E21" s="51">
        <v>0.4</v>
      </c>
      <c r="F21" s="1"/>
      <c r="G21" s="11">
        <f>F21*E20</f>
        <v>0</v>
      </c>
      <c r="H21" s="62"/>
    </row>
    <row r="22" spans="1:8" ht="63">
      <c r="A22" s="9"/>
      <c r="B22" s="61"/>
      <c r="C22" s="11"/>
      <c r="D22" s="58" t="s">
        <v>536</v>
      </c>
      <c r="E22" s="51">
        <v>0.14000000000000001</v>
      </c>
      <c r="F22" s="1"/>
      <c r="G22" s="11">
        <f>F22*E21</f>
        <v>0</v>
      </c>
      <c r="H22" s="62"/>
    </row>
    <row r="23" spans="1:8">
      <c r="A23" s="41"/>
      <c r="B23" s="44" t="s">
        <v>848</v>
      </c>
      <c r="C23" s="29">
        <v>0.08</v>
      </c>
      <c r="D23" s="50"/>
      <c r="E23" s="29">
        <f>SUM(E18:E22)</f>
        <v>1</v>
      </c>
      <c r="F23" s="29" t="s">
        <v>49</v>
      </c>
      <c r="G23" s="29">
        <f>SUM(G18:G22)*C23</f>
        <v>0</v>
      </c>
      <c r="H23" s="63"/>
    </row>
    <row r="24" spans="1:8" ht="47.25">
      <c r="A24" s="15" t="s">
        <v>842</v>
      </c>
      <c r="B24" s="24" t="s">
        <v>73</v>
      </c>
      <c r="C24" s="13"/>
      <c r="D24" s="14" t="s">
        <v>1111</v>
      </c>
      <c r="E24" s="17">
        <v>0.22</v>
      </c>
      <c r="F24" s="4"/>
      <c r="G24" s="17">
        <f t="shared" ref="G24:G71" si="1">F24*E24</f>
        <v>0</v>
      </c>
    </row>
    <row r="25" spans="1:8" ht="31.5">
      <c r="A25" s="15"/>
      <c r="B25" s="24"/>
      <c r="C25" s="13"/>
      <c r="D25" s="14" t="s">
        <v>1112</v>
      </c>
      <c r="E25" s="17">
        <v>0.18</v>
      </c>
      <c r="F25" s="4"/>
      <c r="G25" s="17">
        <f t="shared" si="1"/>
        <v>0</v>
      </c>
    </row>
    <row r="26" spans="1:8" ht="63">
      <c r="A26" s="15"/>
      <c r="B26" s="24"/>
      <c r="C26" s="13"/>
      <c r="D26" s="14" t="s">
        <v>1113</v>
      </c>
      <c r="E26" s="17">
        <v>0.14000000000000001</v>
      </c>
      <c r="F26" s="4"/>
      <c r="G26" s="17">
        <f t="shared" si="1"/>
        <v>0</v>
      </c>
    </row>
    <row r="27" spans="1:8" ht="47.25">
      <c r="A27" s="15"/>
      <c r="B27" s="24"/>
      <c r="C27" s="13"/>
      <c r="D27" s="14" t="s">
        <v>1114</v>
      </c>
      <c r="E27" s="17">
        <v>0.25</v>
      </c>
      <c r="F27" s="4"/>
      <c r="G27" s="17">
        <f t="shared" si="1"/>
        <v>0</v>
      </c>
    </row>
    <row r="28" spans="1:8" ht="31.5">
      <c r="A28" s="15"/>
      <c r="B28" s="24"/>
      <c r="C28" s="13"/>
      <c r="D28" s="14" t="s">
        <v>1115</v>
      </c>
      <c r="E28" s="17">
        <v>7.0000000000000007E-2</v>
      </c>
      <c r="F28" s="4"/>
      <c r="G28" s="17">
        <f t="shared" si="1"/>
        <v>0</v>
      </c>
    </row>
    <row r="29" spans="1:8" ht="31.5">
      <c r="A29" s="15"/>
      <c r="B29" s="24"/>
      <c r="C29" s="13"/>
      <c r="D29" s="14" t="s">
        <v>1116</v>
      </c>
      <c r="E29" s="17">
        <v>0.11</v>
      </c>
      <c r="F29" s="4"/>
      <c r="G29" s="17">
        <f t="shared" si="1"/>
        <v>0</v>
      </c>
    </row>
    <row r="30" spans="1:8">
      <c r="A30" s="15"/>
      <c r="B30" s="24"/>
      <c r="C30" s="13"/>
      <c r="D30" s="14" t="s">
        <v>1117</v>
      </c>
      <c r="E30" s="17">
        <v>0.03</v>
      </c>
      <c r="F30" s="4"/>
      <c r="G30" s="17">
        <f t="shared" si="1"/>
        <v>0</v>
      </c>
    </row>
    <row r="31" spans="1:8">
      <c r="A31" s="57"/>
      <c r="B31" s="44" t="s">
        <v>848</v>
      </c>
      <c r="C31" s="34">
        <v>0.1</v>
      </c>
      <c r="D31" s="33"/>
      <c r="E31" s="34">
        <f>SUM(E24:E30)</f>
        <v>1</v>
      </c>
      <c r="F31" s="34" t="s">
        <v>50</v>
      </c>
      <c r="G31" s="34">
        <f>SUM(G24:G30)*C31</f>
        <v>0</v>
      </c>
    </row>
    <row r="32" spans="1:8" ht="47.25">
      <c r="A32" s="9" t="s">
        <v>843</v>
      </c>
      <c r="B32" s="24" t="s">
        <v>437</v>
      </c>
      <c r="C32" s="13"/>
      <c r="D32" s="14" t="s">
        <v>1118</v>
      </c>
      <c r="E32" s="17">
        <v>0.18</v>
      </c>
      <c r="F32" s="1"/>
      <c r="G32" s="11">
        <f t="shared" si="1"/>
        <v>0</v>
      </c>
    </row>
    <row r="33" spans="1:7">
      <c r="A33" s="9"/>
      <c r="B33" s="24"/>
      <c r="C33" s="13"/>
      <c r="D33" s="14" t="s">
        <v>1111</v>
      </c>
      <c r="E33" s="17">
        <v>0.16</v>
      </c>
      <c r="F33" s="1"/>
      <c r="G33" s="11">
        <f t="shared" si="1"/>
        <v>0</v>
      </c>
    </row>
    <row r="34" spans="1:7" ht="47.25">
      <c r="A34" s="9"/>
      <c r="B34" s="24"/>
      <c r="C34" s="13"/>
      <c r="D34" s="14" t="s">
        <v>1119</v>
      </c>
      <c r="E34" s="17">
        <v>0.11</v>
      </c>
      <c r="F34" s="1"/>
      <c r="G34" s="11">
        <f t="shared" si="1"/>
        <v>0</v>
      </c>
    </row>
    <row r="35" spans="1:7" ht="31.5">
      <c r="A35" s="9"/>
      <c r="B35" s="24"/>
      <c r="C35" s="13"/>
      <c r="D35" s="14" t="s">
        <v>1120</v>
      </c>
      <c r="E35" s="17">
        <v>0.05</v>
      </c>
      <c r="F35" s="1"/>
      <c r="G35" s="11">
        <f t="shared" si="1"/>
        <v>0</v>
      </c>
    </row>
    <row r="36" spans="1:7" ht="31.5">
      <c r="A36" s="9"/>
      <c r="B36" s="24"/>
      <c r="C36" s="13"/>
      <c r="D36" s="14" t="s">
        <v>1121</v>
      </c>
      <c r="E36" s="17">
        <v>0.11</v>
      </c>
      <c r="F36" s="1"/>
      <c r="G36" s="11">
        <f t="shared" si="1"/>
        <v>0</v>
      </c>
    </row>
    <row r="37" spans="1:7" ht="47.25">
      <c r="A37" s="9"/>
      <c r="B37" s="24"/>
      <c r="C37" s="13"/>
      <c r="D37" s="14" t="s">
        <v>1122</v>
      </c>
      <c r="E37" s="17">
        <v>0.11</v>
      </c>
      <c r="F37" s="1"/>
      <c r="G37" s="11">
        <f t="shared" si="1"/>
        <v>0</v>
      </c>
    </row>
    <row r="38" spans="1:7">
      <c r="A38" s="9"/>
      <c r="B38" s="24"/>
      <c r="C38" s="13"/>
      <c r="D38" s="14" t="s">
        <v>1123</v>
      </c>
      <c r="E38" s="17">
        <v>7.0000000000000007E-2</v>
      </c>
      <c r="F38" s="1"/>
      <c r="G38" s="11">
        <f t="shared" si="1"/>
        <v>0</v>
      </c>
    </row>
    <row r="39" spans="1:7">
      <c r="A39" s="9"/>
      <c r="B39" s="24"/>
      <c r="C39" s="13"/>
      <c r="D39" s="14" t="s">
        <v>1124</v>
      </c>
      <c r="E39" s="17">
        <v>7.0000000000000007E-2</v>
      </c>
      <c r="F39" s="1"/>
      <c r="G39" s="11">
        <f t="shared" si="1"/>
        <v>0</v>
      </c>
    </row>
    <row r="40" spans="1:7" ht="31.5">
      <c r="A40" s="9"/>
      <c r="B40" s="24"/>
      <c r="C40" s="13"/>
      <c r="D40" s="14" t="s">
        <v>1125</v>
      </c>
      <c r="E40" s="17">
        <v>0.11</v>
      </c>
      <c r="F40" s="1"/>
      <c r="G40" s="11">
        <f t="shared" si="1"/>
        <v>0</v>
      </c>
    </row>
    <row r="41" spans="1:7">
      <c r="A41" s="9"/>
      <c r="B41" s="24"/>
      <c r="C41" s="13"/>
      <c r="D41" s="14" t="s">
        <v>1117</v>
      </c>
      <c r="E41" s="17">
        <v>0.03</v>
      </c>
      <c r="F41" s="1"/>
      <c r="G41" s="11">
        <f t="shared" si="1"/>
        <v>0</v>
      </c>
    </row>
    <row r="42" spans="1:7">
      <c r="A42" s="41"/>
      <c r="B42" s="44" t="s">
        <v>848</v>
      </c>
      <c r="C42" s="29">
        <v>7.0000000000000007E-2</v>
      </c>
      <c r="D42" s="50"/>
      <c r="E42" s="29">
        <f>SUM(E32:E41)</f>
        <v>1</v>
      </c>
      <c r="F42" s="29" t="s">
        <v>51</v>
      </c>
      <c r="G42" s="29">
        <f>SUM(G32:G41)*C42</f>
        <v>0</v>
      </c>
    </row>
    <row r="43" spans="1:7" ht="94.5">
      <c r="A43" s="9" t="s">
        <v>844</v>
      </c>
      <c r="B43" s="24" t="s">
        <v>70</v>
      </c>
      <c r="C43" s="11"/>
      <c r="D43" s="14" t="s">
        <v>537</v>
      </c>
      <c r="E43" s="51">
        <v>0.26</v>
      </c>
      <c r="F43" s="1"/>
      <c r="G43" s="11">
        <f t="shared" ref="G43:G48" si="2">F43*E43</f>
        <v>0</v>
      </c>
    </row>
    <row r="44" spans="1:7" ht="47.25">
      <c r="A44" s="9"/>
      <c r="B44" s="61"/>
      <c r="C44" s="11"/>
      <c r="D44" s="14" t="s">
        <v>538</v>
      </c>
      <c r="E44" s="51">
        <v>0.16</v>
      </c>
      <c r="F44" s="1"/>
      <c r="G44" s="11">
        <f t="shared" si="2"/>
        <v>0</v>
      </c>
    </row>
    <row r="45" spans="1:7" ht="126">
      <c r="A45" s="9"/>
      <c r="B45" s="61"/>
      <c r="C45" s="11"/>
      <c r="D45" s="14" t="s">
        <v>539</v>
      </c>
      <c r="E45" s="51">
        <v>0.15</v>
      </c>
      <c r="F45" s="1"/>
      <c r="G45" s="11">
        <f t="shared" si="2"/>
        <v>0</v>
      </c>
    </row>
    <row r="46" spans="1:7" ht="78.75">
      <c r="A46" s="9"/>
      <c r="B46" s="61"/>
      <c r="C46" s="11"/>
      <c r="D46" s="14" t="s">
        <v>840</v>
      </c>
      <c r="E46" s="51">
        <v>0.18</v>
      </c>
      <c r="F46" s="1"/>
      <c r="G46" s="11">
        <f t="shared" si="2"/>
        <v>0</v>
      </c>
    </row>
    <row r="47" spans="1:7" ht="47.25">
      <c r="A47" s="9"/>
      <c r="B47" s="61"/>
      <c r="C47" s="11"/>
      <c r="D47" s="14" t="s">
        <v>540</v>
      </c>
      <c r="E47" s="51">
        <v>0.13</v>
      </c>
      <c r="F47" s="1"/>
      <c r="G47" s="11">
        <f t="shared" si="2"/>
        <v>0</v>
      </c>
    </row>
    <row r="48" spans="1:7" ht="63">
      <c r="A48" s="9"/>
      <c r="B48" s="61"/>
      <c r="C48" s="11"/>
      <c r="D48" s="14" t="s">
        <v>541</v>
      </c>
      <c r="E48" s="51">
        <v>0.12</v>
      </c>
      <c r="F48" s="1"/>
      <c r="G48" s="11">
        <f t="shared" si="2"/>
        <v>0</v>
      </c>
    </row>
    <row r="49" spans="1:8">
      <c r="A49" s="41"/>
      <c r="B49" s="44" t="s">
        <v>848</v>
      </c>
      <c r="C49" s="29">
        <v>0.08</v>
      </c>
      <c r="D49" s="50"/>
      <c r="E49" s="29">
        <f>SUM(E43:E48)</f>
        <v>1</v>
      </c>
      <c r="F49" s="29" t="s">
        <v>52</v>
      </c>
      <c r="G49" s="29">
        <f>SUM(G43:G48)*C49</f>
        <v>0</v>
      </c>
    </row>
    <row r="50" spans="1:8" ht="345.75" customHeight="1">
      <c r="A50" s="9" t="s">
        <v>845</v>
      </c>
      <c r="B50" s="24" t="s">
        <v>71</v>
      </c>
      <c r="C50" s="11"/>
      <c r="D50" s="12" t="s">
        <v>542</v>
      </c>
      <c r="E50" s="56">
        <v>0.24</v>
      </c>
      <c r="F50" s="1"/>
      <c r="G50" s="11">
        <f t="shared" si="1"/>
        <v>0</v>
      </c>
      <c r="H50" s="64"/>
    </row>
    <row r="51" spans="1:8" ht="31.5">
      <c r="A51" s="9"/>
      <c r="B51" s="61"/>
      <c r="C51" s="11"/>
      <c r="D51" s="12" t="s">
        <v>543</v>
      </c>
      <c r="E51" s="56">
        <v>0.19</v>
      </c>
      <c r="F51" s="1"/>
      <c r="G51" s="11">
        <f t="shared" si="1"/>
        <v>0</v>
      </c>
      <c r="H51" s="64"/>
    </row>
    <row r="52" spans="1:8" ht="31.5">
      <c r="A52" s="9"/>
      <c r="B52" s="61"/>
      <c r="C52" s="11"/>
      <c r="D52" s="12" t="s">
        <v>835</v>
      </c>
      <c r="E52" s="56">
        <v>0.28999999999999998</v>
      </c>
      <c r="F52" s="1"/>
      <c r="G52" s="11"/>
      <c r="H52" s="64"/>
    </row>
    <row r="53" spans="1:8" ht="31.5">
      <c r="A53" s="9"/>
      <c r="B53" s="61"/>
      <c r="C53" s="11"/>
      <c r="D53" s="12" t="s">
        <v>839</v>
      </c>
      <c r="E53" s="56">
        <v>0.05</v>
      </c>
      <c r="F53" s="1"/>
      <c r="G53" s="11">
        <f t="shared" si="1"/>
        <v>0</v>
      </c>
      <c r="H53" s="64"/>
    </row>
    <row r="54" spans="1:8" ht="31.5">
      <c r="A54" s="9"/>
      <c r="B54" s="61"/>
      <c r="C54" s="11"/>
      <c r="D54" s="12" t="s">
        <v>544</v>
      </c>
      <c r="E54" s="56">
        <v>0.13</v>
      </c>
      <c r="F54" s="1"/>
      <c r="G54" s="11"/>
      <c r="H54" s="64"/>
    </row>
    <row r="55" spans="1:8" ht="78.75">
      <c r="A55" s="9"/>
      <c r="B55" s="61"/>
      <c r="C55" s="11"/>
      <c r="D55" s="12" t="s">
        <v>545</v>
      </c>
      <c r="E55" s="56">
        <v>0.1</v>
      </c>
      <c r="F55" s="1"/>
      <c r="G55" s="11"/>
      <c r="H55" s="64"/>
    </row>
    <row r="56" spans="1:8">
      <c r="A56" s="41"/>
      <c r="B56" s="44" t="s">
        <v>848</v>
      </c>
      <c r="C56" s="30">
        <v>0.12</v>
      </c>
      <c r="D56" s="55"/>
      <c r="E56" s="30">
        <f>SUM(E50:E55)</f>
        <v>1</v>
      </c>
      <c r="F56" s="30" t="s">
        <v>53</v>
      </c>
      <c r="G56" s="30">
        <f>SUM(G50:G55)*C56</f>
        <v>0</v>
      </c>
      <c r="H56" s="65"/>
    </row>
    <row r="57" spans="1:8" ht="110.25">
      <c r="A57" s="9" t="s">
        <v>846</v>
      </c>
      <c r="B57" s="24" t="s">
        <v>442</v>
      </c>
      <c r="C57" s="11"/>
      <c r="D57" s="14" t="s">
        <v>546</v>
      </c>
      <c r="E57" s="51">
        <v>0.18</v>
      </c>
      <c r="F57" s="1"/>
      <c r="G57" s="11">
        <f t="shared" ref="G57:G62" si="3">F57*E57</f>
        <v>0</v>
      </c>
    </row>
    <row r="58" spans="1:8" ht="47.25">
      <c r="A58" s="9"/>
      <c r="B58" s="24"/>
      <c r="C58" s="11"/>
      <c r="D58" s="14" t="s">
        <v>1146</v>
      </c>
      <c r="E58" s="51">
        <v>0.12</v>
      </c>
      <c r="F58" s="1"/>
      <c r="G58" s="11">
        <f t="shared" si="3"/>
        <v>0</v>
      </c>
    </row>
    <row r="59" spans="1:8" ht="63">
      <c r="A59" s="9"/>
      <c r="B59" s="24"/>
      <c r="C59" s="11"/>
      <c r="D59" s="14" t="s">
        <v>547</v>
      </c>
      <c r="E59" s="51">
        <v>0.18</v>
      </c>
      <c r="F59" s="1"/>
      <c r="G59" s="11">
        <f t="shared" si="3"/>
        <v>0</v>
      </c>
    </row>
    <row r="60" spans="1:8" ht="47.25">
      <c r="A60" s="9"/>
      <c r="B60" s="24"/>
      <c r="C60" s="11"/>
      <c r="D60" s="14" t="s">
        <v>882</v>
      </c>
      <c r="E60" s="51">
        <v>0.2</v>
      </c>
      <c r="F60" s="1"/>
      <c r="G60" s="11">
        <f t="shared" si="3"/>
        <v>0</v>
      </c>
    </row>
    <row r="61" spans="1:8" ht="47.25">
      <c r="A61" s="9"/>
      <c r="B61" s="24"/>
      <c r="C61" s="11"/>
      <c r="D61" s="14" t="s">
        <v>1148</v>
      </c>
      <c r="E61" s="51">
        <v>0.2</v>
      </c>
      <c r="F61" s="1"/>
      <c r="G61" s="11">
        <f t="shared" si="3"/>
        <v>0</v>
      </c>
    </row>
    <row r="62" spans="1:8">
      <c r="A62" s="9"/>
      <c r="B62" s="24"/>
      <c r="C62" s="11"/>
      <c r="D62" s="14" t="s">
        <v>1149</v>
      </c>
      <c r="E62" s="51">
        <v>0.12</v>
      </c>
      <c r="F62" s="1"/>
      <c r="G62" s="11">
        <f t="shared" si="3"/>
        <v>0</v>
      </c>
    </row>
    <row r="63" spans="1:8">
      <c r="A63" s="41"/>
      <c r="B63" s="44" t="s">
        <v>848</v>
      </c>
      <c r="C63" s="29">
        <v>0.15</v>
      </c>
      <c r="D63" s="50"/>
      <c r="E63" s="29">
        <f>SUM(E57:E62)</f>
        <v>0.99999999999999989</v>
      </c>
      <c r="F63" s="29" t="s">
        <v>54</v>
      </c>
      <c r="G63" s="29">
        <f>SUM(G57:G62)*C63</f>
        <v>0</v>
      </c>
    </row>
    <row r="64" spans="1:8" ht="63">
      <c r="A64" s="15" t="s">
        <v>847</v>
      </c>
      <c r="B64" s="24" t="s">
        <v>398</v>
      </c>
      <c r="C64" s="17"/>
      <c r="D64" s="10" t="s">
        <v>1182</v>
      </c>
      <c r="E64" s="51">
        <v>0.2</v>
      </c>
      <c r="F64" s="1"/>
      <c r="G64" s="11">
        <f t="shared" si="1"/>
        <v>0</v>
      </c>
      <c r="H64" s="66"/>
    </row>
    <row r="65" spans="1:8" ht="63">
      <c r="A65" s="16"/>
      <c r="B65" s="67"/>
      <c r="C65" s="17"/>
      <c r="D65" s="10" t="s">
        <v>1183</v>
      </c>
      <c r="E65" s="51">
        <v>0.06</v>
      </c>
      <c r="F65" s="1"/>
      <c r="G65" s="11">
        <f t="shared" si="1"/>
        <v>0</v>
      </c>
      <c r="H65" s="66"/>
    </row>
    <row r="66" spans="1:8" ht="31.5">
      <c r="A66" s="16"/>
      <c r="B66" s="67"/>
      <c r="C66" s="17"/>
      <c r="D66" s="10" t="s">
        <v>836</v>
      </c>
      <c r="E66" s="51">
        <v>0.11</v>
      </c>
      <c r="F66" s="1"/>
      <c r="G66" s="11">
        <f t="shared" si="1"/>
        <v>0</v>
      </c>
      <c r="H66" s="66"/>
    </row>
    <row r="67" spans="1:8" ht="34.5" customHeight="1">
      <c r="A67" s="16"/>
      <c r="B67" s="67"/>
      <c r="C67" s="17"/>
      <c r="D67" s="10" t="s">
        <v>837</v>
      </c>
      <c r="E67" s="51">
        <v>0.08</v>
      </c>
      <c r="F67" s="1"/>
      <c r="G67" s="11">
        <f t="shared" si="1"/>
        <v>0</v>
      </c>
      <c r="H67" s="66"/>
    </row>
    <row r="68" spans="1:8" ht="31.5">
      <c r="A68" s="16"/>
      <c r="B68" s="67"/>
      <c r="C68" s="17"/>
      <c r="D68" s="12" t="s">
        <v>1184</v>
      </c>
      <c r="E68" s="51">
        <v>0.1</v>
      </c>
      <c r="F68" s="1"/>
      <c r="G68" s="11">
        <f t="shared" si="1"/>
        <v>0</v>
      </c>
      <c r="H68" s="66"/>
    </row>
    <row r="69" spans="1:8" ht="63">
      <c r="A69" s="16"/>
      <c r="B69" s="67"/>
      <c r="C69" s="17"/>
      <c r="D69" s="10" t="s">
        <v>1185</v>
      </c>
      <c r="E69" s="51">
        <v>0.17</v>
      </c>
      <c r="F69" s="1"/>
      <c r="G69" s="11">
        <f t="shared" si="1"/>
        <v>0</v>
      </c>
      <c r="H69" s="66"/>
    </row>
    <row r="70" spans="1:8" ht="31.5">
      <c r="A70" s="16"/>
      <c r="B70" s="67"/>
      <c r="C70" s="17"/>
      <c r="D70" s="10" t="s">
        <v>1186</v>
      </c>
      <c r="E70" s="51">
        <v>0.17</v>
      </c>
      <c r="F70" s="1"/>
      <c r="G70" s="11">
        <f t="shared" si="1"/>
        <v>0</v>
      </c>
      <c r="H70" s="66"/>
    </row>
    <row r="71" spans="1:8" ht="47.25">
      <c r="A71" s="16"/>
      <c r="B71" s="67"/>
      <c r="C71" s="17"/>
      <c r="D71" s="12" t="s">
        <v>838</v>
      </c>
      <c r="E71" s="51">
        <v>0.11</v>
      </c>
      <c r="F71" s="1"/>
      <c r="G71" s="11">
        <f t="shared" si="1"/>
        <v>0</v>
      </c>
      <c r="H71" s="66"/>
    </row>
    <row r="72" spans="1:8">
      <c r="A72" s="43"/>
      <c r="B72" s="44" t="s">
        <v>848</v>
      </c>
      <c r="C72" s="34">
        <v>0.18</v>
      </c>
      <c r="D72" s="32"/>
      <c r="E72" s="29">
        <f>SUM(E64:E71)</f>
        <v>1.0000000000000002</v>
      </c>
      <c r="F72" s="29" t="s">
        <v>55</v>
      </c>
      <c r="G72" s="29">
        <f>SUM(G64:G71)*C72</f>
        <v>0</v>
      </c>
      <c r="H72" s="68"/>
    </row>
    <row r="73" spans="1:8">
      <c r="A73" s="40"/>
      <c r="B73" s="36" t="s">
        <v>443</v>
      </c>
      <c r="C73" s="39">
        <f>SUM(C7,C11,C17,C23,C31,C42,C49,C56,C63,C72)</f>
        <v>1</v>
      </c>
      <c r="D73" s="38"/>
      <c r="E73" s="39">
        <v>14</v>
      </c>
      <c r="F73" s="38"/>
      <c r="G73" s="39">
        <f>SUBTOTAL(9,G7,G11,G17,G23,G31,G42,G49,G56,G63,G72)</f>
        <v>0</v>
      </c>
    </row>
    <row r="74" spans="1:8">
      <c r="A74" s="12"/>
      <c r="B74" s="26" t="s">
        <v>444</v>
      </c>
      <c r="C74" s="10"/>
      <c r="D74" s="10"/>
      <c r="E74" s="11"/>
      <c r="F74" s="3"/>
      <c r="G74" s="21" t="str">
        <f>IF(G73&lt;=0.5,"низький",IF(G73&lt;=0.75,"середній",(IF(G73&lt;=0.95,"достатній",(IF(G73&lt;=1,"високий"))))))</f>
        <v>низький</v>
      </c>
    </row>
    <row r="75" spans="1:8" s="302" customFormat="1">
      <c r="A75" s="288" t="s">
        <v>182</v>
      </c>
      <c r="B75" s="289"/>
      <c r="C75" s="342"/>
      <c r="E75" s="343"/>
      <c r="F75" s="344"/>
      <c r="G75" s="112"/>
    </row>
    <row r="76" spans="1:8" s="302" customFormat="1" ht="17.25">
      <c r="A76" s="345" t="s">
        <v>589</v>
      </c>
      <c r="B76" s="346"/>
      <c r="C76" s="347"/>
      <c r="D76" s="303"/>
      <c r="E76" s="348"/>
      <c r="F76" s="349"/>
      <c r="G76" s="112"/>
    </row>
    <row r="77" spans="1:8" s="302" customFormat="1" ht="17.25">
      <c r="A77" s="345" t="s">
        <v>590</v>
      </c>
      <c r="B77" s="346"/>
      <c r="C77" s="347"/>
      <c r="D77" s="303"/>
      <c r="E77" s="348"/>
      <c r="F77" s="349"/>
      <c r="G77" s="112"/>
    </row>
    <row r="78" spans="1:8" s="302" customFormat="1" ht="17.25">
      <c r="A78" s="345" t="s">
        <v>591</v>
      </c>
      <c r="B78" s="346"/>
      <c r="C78" s="347"/>
      <c r="D78" s="303"/>
      <c r="E78" s="348"/>
      <c r="F78" s="349"/>
      <c r="G78" s="112"/>
    </row>
    <row r="79" spans="1:8" s="302" customFormat="1" ht="17.25">
      <c r="A79" s="345" t="s">
        <v>592</v>
      </c>
      <c r="B79" s="346"/>
      <c r="C79" s="347"/>
      <c r="D79" s="303"/>
      <c r="E79" s="348"/>
      <c r="F79" s="349"/>
      <c r="G79" s="112"/>
    </row>
    <row r="80" spans="1:8" s="302" customFormat="1" ht="17.25">
      <c r="A80" s="345" t="s">
        <v>593</v>
      </c>
      <c r="B80" s="346"/>
      <c r="C80" s="347"/>
      <c r="D80" s="303"/>
      <c r="E80" s="348"/>
      <c r="F80" s="349"/>
      <c r="G80" s="112"/>
    </row>
    <row r="81" spans="1:7" s="302" customFormat="1" ht="17.25">
      <c r="A81" s="345" t="s">
        <v>594</v>
      </c>
      <c r="B81" s="346"/>
      <c r="C81" s="347"/>
      <c r="D81" s="303"/>
      <c r="E81" s="348"/>
      <c r="F81" s="349"/>
      <c r="G81" s="112"/>
    </row>
    <row r="82" spans="1:7" s="302" customFormat="1" ht="17.25">
      <c r="A82" s="345" t="s">
        <v>595</v>
      </c>
      <c r="B82" s="346"/>
      <c r="C82" s="347"/>
      <c r="D82" s="303"/>
      <c r="E82" s="348"/>
      <c r="F82" s="349"/>
      <c r="G82" s="112"/>
    </row>
    <row r="83" spans="1:7" s="302" customFormat="1">
      <c r="A83" s="350" t="s">
        <v>596</v>
      </c>
      <c r="B83" s="346"/>
      <c r="C83" s="347"/>
      <c r="D83" s="303"/>
      <c r="E83" s="348"/>
      <c r="F83" s="349"/>
      <c r="G83" s="112"/>
    </row>
    <row r="84" spans="1:7" s="302" customFormat="1">
      <c r="A84" s="345" t="s">
        <v>597</v>
      </c>
      <c r="B84" s="346"/>
      <c r="C84" s="347"/>
      <c r="D84" s="303"/>
      <c r="E84" s="348"/>
      <c r="F84" s="349"/>
      <c r="G84" s="112"/>
    </row>
    <row r="85" spans="1:7" s="302" customFormat="1">
      <c r="A85" s="288" t="s">
        <v>792</v>
      </c>
      <c r="B85" s="346"/>
      <c r="C85" s="347"/>
      <c r="D85" s="303"/>
      <c r="E85" s="348"/>
      <c r="F85" s="349"/>
      <c r="G85" s="112"/>
    </row>
    <row r="86" spans="1:7" s="302" customFormat="1">
      <c r="A86" s="288" t="s">
        <v>793</v>
      </c>
      <c r="B86" s="346"/>
      <c r="C86" s="347"/>
      <c r="D86" s="303"/>
      <c r="E86" s="348"/>
      <c r="F86" s="349"/>
      <c r="G86" s="112"/>
    </row>
    <row r="87" spans="1:7" s="302" customFormat="1">
      <c r="A87" s="288" t="s">
        <v>794</v>
      </c>
      <c r="B87" s="346"/>
      <c r="C87" s="347"/>
      <c r="D87" s="303"/>
      <c r="E87" s="348"/>
      <c r="F87" s="349"/>
      <c r="G87" s="112"/>
    </row>
    <row r="88" spans="1:7" s="302" customFormat="1">
      <c r="A88" s="342"/>
      <c r="B88" s="342" t="s">
        <v>20</v>
      </c>
      <c r="C88" s="342"/>
      <c r="D88" s="342"/>
      <c r="E88" s="342"/>
      <c r="F88" s="342"/>
      <c r="G88" s="342"/>
    </row>
    <row r="89" spans="1:7" s="302" customFormat="1">
      <c r="A89" s="351"/>
      <c r="B89" s="351"/>
      <c r="C89" s="351"/>
      <c r="D89" s="351"/>
      <c r="E89" s="351"/>
      <c r="F89" s="351"/>
      <c r="G89" s="351"/>
    </row>
    <row r="90" spans="1:7" s="302" customFormat="1">
      <c r="A90" s="351"/>
      <c r="B90" s="351"/>
      <c r="C90" s="351"/>
      <c r="D90" s="351"/>
      <c r="E90" s="351"/>
      <c r="F90" s="351"/>
      <c r="G90" s="351"/>
    </row>
    <row r="91" spans="1:7" s="302" customFormat="1">
      <c r="A91" s="351"/>
      <c r="B91" s="351"/>
      <c r="C91" s="351"/>
      <c r="D91" s="351"/>
      <c r="E91" s="351"/>
      <c r="F91" s="351"/>
      <c r="G91" s="351"/>
    </row>
    <row r="92" spans="1:7" s="302" customFormat="1">
      <c r="A92" s="351"/>
      <c r="B92" s="351"/>
      <c r="C92" s="351"/>
      <c r="D92" s="351"/>
      <c r="E92" s="351"/>
      <c r="F92" s="351"/>
      <c r="G92" s="351"/>
    </row>
    <row r="93" spans="1:7" s="302" customFormat="1">
      <c r="A93" s="351"/>
      <c r="B93" s="351"/>
      <c r="C93" s="351"/>
      <c r="D93" s="351"/>
      <c r="E93" s="351"/>
      <c r="F93" s="351"/>
      <c r="G93" s="351"/>
    </row>
    <row r="94" spans="1:7" s="302" customFormat="1">
      <c r="A94" s="351"/>
      <c r="B94" s="351"/>
      <c r="C94" s="351"/>
      <c r="D94" s="351"/>
      <c r="E94" s="351"/>
      <c r="F94" s="351"/>
      <c r="G94" s="351"/>
    </row>
    <row r="95" spans="1:7" s="302" customFormat="1">
      <c r="A95" s="351"/>
      <c r="B95" s="351"/>
      <c r="C95" s="351"/>
      <c r="D95" s="351"/>
      <c r="E95" s="351"/>
      <c r="F95" s="351"/>
      <c r="G95" s="351"/>
    </row>
    <row r="96" spans="1:7" s="302" customFormat="1">
      <c r="A96" s="351"/>
      <c r="B96" s="351"/>
      <c r="C96" s="351"/>
      <c r="D96" s="351"/>
      <c r="E96" s="351"/>
      <c r="F96" s="351"/>
      <c r="G96" s="351"/>
    </row>
    <row r="97" spans="1:7" s="302" customFormat="1">
      <c r="A97" s="351"/>
      <c r="B97" s="351"/>
      <c r="C97" s="351"/>
      <c r="D97" s="351"/>
      <c r="E97" s="351"/>
      <c r="F97" s="351"/>
      <c r="G97" s="351"/>
    </row>
    <row r="98" spans="1:7" s="302" customFormat="1">
      <c r="A98" s="351"/>
      <c r="B98" s="351"/>
      <c r="C98" s="351"/>
      <c r="D98" s="351"/>
      <c r="E98" s="351"/>
      <c r="F98" s="351"/>
      <c r="G98" s="351"/>
    </row>
    <row r="99" spans="1:7" s="302" customFormat="1">
      <c r="A99" s="351"/>
      <c r="B99" s="351"/>
      <c r="C99" s="351"/>
      <c r="D99" s="351"/>
      <c r="E99" s="351"/>
      <c r="F99" s="351"/>
      <c r="G99" s="351"/>
    </row>
    <row r="100" spans="1:7" s="302" customFormat="1">
      <c r="A100" s="351"/>
      <c r="B100" s="351"/>
      <c r="C100" s="351"/>
      <c r="D100" s="351"/>
      <c r="E100" s="351"/>
      <c r="F100" s="351"/>
      <c r="G100" s="351"/>
    </row>
    <row r="101" spans="1:7" s="302" customFormat="1">
      <c r="A101" s="351"/>
      <c r="B101" s="351"/>
      <c r="C101" s="351"/>
      <c r="D101" s="351"/>
      <c r="E101" s="351"/>
      <c r="F101" s="351"/>
      <c r="G101" s="351"/>
    </row>
    <row r="102" spans="1:7" s="302" customFormat="1">
      <c r="A102" s="351"/>
      <c r="B102" s="351"/>
      <c r="C102" s="351"/>
      <c r="D102" s="351"/>
      <c r="E102" s="351"/>
      <c r="F102" s="351"/>
      <c r="G102" s="351"/>
    </row>
    <row r="103" spans="1:7" s="302" customFormat="1">
      <c r="A103" s="342"/>
      <c r="B103" s="352" t="s">
        <v>2418</v>
      </c>
      <c r="C103" s="352"/>
      <c r="D103" s="352"/>
      <c r="E103" s="352"/>
      <c r="F103" s="352"/>
      <c r="G103" s="352"/>
    </row>
    <row r="104" spans="1:7" s="302" customFormat="1">
      <c r="A104" s="342"/>
      <c r="B104" s="353"/>
      <c r="C104" s="353"/>
      <c r="D104" s="353"/>
      <c r="E104" s="353"/>
      <c r="F104" s="353"/>
      <c r="G104" s="353"/>
    </row>
    <row r="105" spans="1:7" s="302" customFormat="1">
      <c r="A105" s="342"/>
      <c r="B105" s="352" t="s">
        <v>22</v>
      </c>
      <c r="C105" s="352"/>
      <c r="D105" s="352"/>
      <c r="E105" s="352"/>
      <c r="F105" s="352"/>
      <c r="G105" s="352"/>
    </row>
    <row r="106" spans="1:7" s="302" customFormat="1">
      <c r="A106" s="342"/>
      <c r="B106" s="353"/>
      <c r="C106" s="353"/>
      <c r="D106" s="353"/>
      <c r="E106" s="353"/>
      <c r="F106" s="353"/>
      <c r="G106" s="353"/>
    </row>
    <row r="107" spans="1:7" s="302" customFormat="1">
      <c r="A107" s="342"/>
      <c r="B107" s="352" t="s">
        <v>23</v>
      </c>
      <c r="C107" s="352"/>
      <c r="D107" s="352"/>
      <c r="E107" s="352"/>
      <c r="F107" s="352"/>
      <c r="G107" s="352"/>
    </row>
    <row r="108" spans="1:7" s="302" customFormat="1">
      <c r="A108" s="342"/>
      <c r="B108" s="352" t="s">
        <v>24</v>
      </c>
      <c r="C108" s="352"/>
      <c r="D108" s="352"/>
      <c r="E108" s="352"/>
      <c r="F108" s="352"/>
      <c r="G108" s="352"/>
    </row>
    <row r="109" spans="1:7" s="303" customFormat="1">
      <c r="A109" s="346"/>
      <c r="B109" s="346"/>
      <c r="E109" s="333"/>
    </row>
    <row r="110" spans="1:7" s="101" customFormat="1">
      <c r="A110" s="290"/>
      <c r="B110" s="289"/>
      <c r="C110" s="63"/>
      <c r="E110" s="63"/>
    </row>
    <row r="111" spans="1:7" s="101" customFormat="1">
      <c r="A111" s="290"/>
      <c r="B111" s="289"/>
      <c r="C111" s="63"/>
      <c r="E111" s="63"/>
    </row>
    <row r="112" spans="1:7" s="101" customFormat="1">
      <c r="A112" s="290"/>
      <c r="B112" s="289"/>
      <c r="C112" s="63"/>
      <c r="E112" s="63"/>
    </row>
  </sheetData>
  <autoFilter ref="A4:G88"/>
  <mergeCells count="2">
    <mergeCell ref="A1:G1"/>
    <mergeCell ref="A2:G2"/>
  </mergeCells>
  <phoneticPr fontId="4" type="noConversion"/>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65</vt:i4>
      </vt:variant>
      <vt:variant>
        <vt:lpstr>Именованные диапазоны</vt:lpstr>
      </vt:variant>
      <vt:variant>
        <vt:i4>1</vt:i4>
      </vt:variant>
    </vt:vector>
  </HeadingPairs>
  <TitlesOfParts>
    <vt:vector size="66" baseType="lpstr">
      <vt:lpstr>1.1.-1.7.сист-управл УО</vt:lpstr>
      <vt:lpstr>2.1.діл_док УО</vt:lpstr>
      <vt:lpstr>2.2.діл_док ДНЗ</vt:lpstr>
      <vt:lpstr>2.3.діл_док ЗНЗ</vt:lpstr>
      <vt:lpstr>2.4.діл_док ПШ</vt:lpstr>
      <vt:lpstr>2.5.діл-док ДЮСШ</vt:lpstr>
      <vt:lpstr>2.6.діл-док ЦДЮТ</vt:lpstr>
      <vt:lpstr>2.7.поч_року ЗНЗ</vt:lpstr>
      <vt:lpstr>2.8.зак_року ЗНЗ</vt:lpstr>
      <vt:lpstr>3.1.1.дошкільна_освіта УО</vt:lpstr>
      <vt:lpstr>3.1.2.харч ДНЗ</vt:lpstr>
      <vt:lpstr>3.2.1.метод робота дошкілля УО</vt:lpstr>
      <vt:lpstr>3.2.2.метод робота ДНЗ</vt:lpstr>
      <vt:lpstr>4.1.всеобуч УО</vt:lpstr>
      <vt:lpstr>4.2.рух_учнів УО</vt:lpstr>
      <vt:lpstr>4.3.працевлашт УО</vt:lpstr>
      <vt:lpstr>4.4.1.екстернат УО</vt:lpstr>
      <vt:lpstr>4.4.2.екстернат ЗНЗ</vt:lpstr>
      <vt:lpstr>4.5.1.інд навч УО</vt:lpstr>
      <vt:lpstr>4.5.2.інд навч ЗНЗ</vt:lpstr>
      <vt:lpstr>4.5.3.пеніт</vt:lpstr>
      <vt:lpstr>4.6.1.мови УО</vt:lpstr>
      <vt:lpstr>4.6.2.мови ЗНЗ</vt:lpstr>
      <vt:lpstr>4.6.3.мови ДНЗ</vt:lpstr>
      <vt:lpstr>5.1.1.сан-мед УО</vt:lpstr>
      <vt:lpstr>5.1.2.сан-мед ДНЗ</vt:lpstr>
      <vt:lpstr>5.1.3.сан-мед ЗНЗ</vt:lpstr>
      <vt:lpstr>5.2.1.харч УО</vt:lpstr>
      <vt:lpstr>5.2.2.харч ЗНЗ</vt:lpstr>
      <vt:lpstr>5.3.1.оздор УО</vt:lpstr>
      <vt:lpstr>5.3.2.оздор ДНЗ</vt:lpstr>
      <vt:lpstr>5.3.3.оздор ЗНЗ</vt:lpstr>
      <vt:lpstr>6.1.позашк УО</vt:lpstr>
      <vt:lpstr>6.2.позашк ПНЗ</vt:lpstr>
      <vt:lpstr>7.1.Захист Вітчизни УО </vt:lpstr>
      <vt:lpstr>7.2.Захист Вітчизни ЗНЗ</vt:lpstr>
      <vt:lpstr>8.1.фізкульт УО</vt:lpstr>
      <vt:lpstr>8.2.фізкульт ЗНЗ</vt:lpstr>
      <vt:lpstr>9.1.профілактика злоч УО</vt:lpstr>
      <vt:lpstr>9.2.профілактика злоч ЗНЗ</vt:lpstr>
      <vt:lpstr>10.1.соцзах УО</vt:lpstr>
      <vt:lpstr>10.3.соцзах ДНЗ</vt:lpstr>
      <vt:lpstr>10.3.соцзах ЗНЗ</vt:lpstr>
      <vt:lpstr>11.1.трудове-кадри УО</vt:lpstr>
      <vt:lpstr>11.2.трудове-кадри НЗ</vt:lpstr>
      <vt:lpstr>12.1.1.травм УО</vt:lpstr>
      <vt:lpstr>12.1.2.травм ДНЗ</vt:lpstr>
      <vt:lpstr>12.1.3.травм ЗНЗ</vt:lpstr>
      <vt:lpstr>12.1.4.травм ПНЗ</vt:lpstr>
      <vt:lpstr>12.1.ОП-ПБ УО</vt:lpstr>
      <vt:lpstr>12.2.ОП-ПБ НЗ</vt:lpstr>
      <vt:lpstr>13.оренда УО</vt:lpstr>
      <vt:lpstr>14.ЦО УО</vt:lpstr>
      <vt:lpstr>15.1.1.фін-дисц-економісти УО</vt:lpstr>
      <vt:lpstr>15.1.2.фін-дисц-економісти ЗНЗ</vt:lpstr>
      <vt:lpstr>15.2.бухгалтерія УО</vt:lpstr>
      <vt:lpstr>15.3.позабюдж УО</vt:lpstr>
      <vt:lpstr>16.1.1.інформатизац ДНЗ</vt:lpstr>
      <vt:lpstr>16.1.2.інформатизац ЗНЗ</vt:lpstr>
      <vt:lpstr>16.1.3.інформатизац ПНЗ</vt:lpstr>
      <vt:lpstr>16.2.ЛКТО УО</vt:lpstr>
      <vt:lpstr>16.3.цільове викор комп техн</vt:lpstr>
      <vt:lpstr>16.4.госп-діяльн УО</vt:lpstr>
      <vt:lpstr>17.1.методробота РМЦ УО</vt:lpstr>
      <vt:lpstr>Соціальна обдарованість</vt:lpstr>
      <vt:lpstr>'2.7.поч_року ЗНЗ'!Область_печати</vt:lpstr>
    </vt:vector>
  </TitlesOfParts>
  <Company>ДО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Шепель</dc:creator>
  <cp:lastModifiedBy>ADMIN-ТМ</cp:lastModifiedBy>
  <cp:lastPrinted>2014-03-12T09:18:57Z</cp:lastPrinted>
  <dcterms:created xsi:type="dcterms:W3CDTF">2011-12-08T07:18:34Z</dcterms:created>
  <dcterms:modified xsi:type="dcterms:W3CDTF">2014-03-18T11:56:26Z</dcterms:modified>
</cp:coreProperties>
</file>